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โครงการยุทธ 2020\คลินิกพลังงาน\"/>
    </mc:Choice>
  </mc:AlternateContent>
  <bookViews>
    <workbookView xWindow="0" yWindow="0" windowWidth="20490" windowHeight="7905"/>
  </bookViews>
  <sheets>
    <sheet name="Pump" sheetId="1" r:id="rId1"/>
    <sheet name="Solar cell" sheetId="4" r:id="rId2"/>
    <sheet name="Data Convertor" sheetId="3" r:id="rId3"/>
    <sheet name="database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4" l="1"/>
  <c r="F73" i="4"/>
  <c r="F72" i="4"/>
  <c r="F71" i="4"/>
  <c r="F68" i="4"/>
  <c r="N30" i="4" l="1"/>
  <c r="F67" i="4" s="1"/>
  <c r="C10" i="1" l="1"/>
  <c r="F104" i="3" l="1"/>
  <c r="F102" i="3"/>
  <c r="F100" i="3"/>
  <c r="F98" i="3"/>
  <c r="F96" i="3"/>
  <c r="F94" i="3"/>
  <c r="F86" i="3"/>
  <c r="F84" i="3"/>
  <c r="F82" i="3"/>
  <c r="F80" i="3"/>
  <c r="F78" i="3"/>
  <c r="F76" i="3"/>
  <c r="F68" i="3"/>
  <c r="F66" i="3"/>
  <c r="F64" i="3"/>
  <c r="F62" i="3"/>
  <c r="N58" i="3"/>
  <c r="N56" i="3"/>
  <c r="N54" i="3"/>
  <c r="N52" i="3"/>
  <c r="F58" i="3"/>
  <c r="F56" i="3"/>
  <c r="F54" i="3"/>
  <c r="F52" i="3"/>
  <c r="N48" i="3"/>
  <c r="N46" i="3"/>
  <c r="N44" i="3"/>
  <c r="N42" i="3"/>
  <c r="F48" i="3"/>
  <c r="F46" i="3"/>
  <c r="F44" i="3"/>
  <c r="F42" i="3"/>
  <c r="F34" i="3"/>
  <c r="F32" i="3"/>
  <c r="F30" i="3"/>
  <c r="F28" i="3"/>
  <c r="N24" i="3"/>
  <c r="N22" i="3"/>
  <c r="N20" i="3"/>
  <c r="N18" i="3"/>
  <c r="F24" i="3"/>
  <c r="F22" i="3"/>
  <c r="F20" i="3"/>
  <c r="N14" i="3"/>
  <c r="N12" i="3"/>
  <c r="N10" i="3"/>
  <c r="N8" i="3"/>
  <c r="F18" i="3"/>
  <c r="F14" i="3"/>
  <c r="F12" i="3"/>
  <c r="F10" i="3"/>
  <c r="F8" i="3"/>
  <c r="N31" i="4" l="1"/>
  <c r="N32" i="4"/>
  <c r="J60" i="4" s="1"/>
  <c r="E67" i="4"/>
  <c r="F45" i="4" l="1"/>
  <c r="H45" i="4" s="1"/>
  <c r="J59" i="4"/>
  <c r="E73" i="4" l="1"/>
  <c r="J51" i="4"/>
  <c r="F46" i="4"/>
  <c r="H46" i="4" s="1"/>
  <c r="E71" i="4" l="1"/>
  <c r="J52" i="4"/>
  <c r="E68" i="4"/>
  <c r="E74" i="4"/>
  <c r="E12" i="4"/>
  <c r="E72" i="4" l="1"/>
  <c r="E70" i="4"/>
  <c r="F70" i="4"/>
  <c r="C55" i="1"/>
  <c r="C54" i="1"/>
  <c r="C17" i="1" l="1"/>
  <c r="N30" i="1"/>
  <c r="N31" i="1"/>
  <c r="N32" i="1"/>
  <c r="N33" i="1"/>
  <c r="N34" i="1"/>
  <c r="N35" i="1"/>
  <c r="N36" i="1"/>
  <c r="N37" i="1"/>
  <c r="N29" i="1"/>
  <c r="C38" i="1" l="1"/>
  <c r="C20" i="1" l="1"/>
  <c r="C14" i="1"/>
  <c r="C41" i="1" s="1"/>
  <c r="C11" i="1" l="1"/>
  <c r="C42" i="1" s="1"/>
  <c r="C44" i="1" l="1"/>
  <c r="C45" i="1"/>
  <c r="C46" i="1" l="1"/>
  <c r="C47" i="1" l="1"/>
  <c r="C56" i="1" s="1"/>
  <c r="C57" i="1" s="1"/>
  <c r="H57" i="1" l="1"/>
</calcChain>
</file>

<file path=xl/sharedStrings.xml><?xml version="1.0" encoding="utf-8"?>
<sst xmlns="http://schemas.openxmlformats.org/spreadsheetml/2006/main" count="382" uniqueCount="178">
  <si>
    <t>กำลัง (วัตต์)</t>
  </si>
  <si>
    <t xml:space="preserve">ปั๊มแบบจุ่มใต้น้ำหรือปั๊มน้ำบาดาล (Submersible Pump) </t>
  </si>
  <si>
    <t>ภายใต้โครงการพัฒนาประสิทธิผลการดำเนินงานเชิงยุทธศาสตร์ตามแผนพลังงานเชิงพื้นที่ (ณ กันยายน 2563)</t>
  </si>
  <si>
    <t>การคำนวณสำหรับออกแบบระบบสูบน้ำด้วยพลังงานแสงอาทิตย์ (คลินิกพลังงาน)</t>
  </si>
  <si>
    <t>กรอกข้อมูลเฉพาะช่องที่เป็นสีเหลืองเท่านั้น</t>
  </si>
  <si>
    <t>หรือ</t>
  </si>
  <si>
    <t xml:space="preserve">ลิตร/นาที </t>
  </si>
  <si>
    <t>แกลลอน/นาที (GPM)</t>
  </si>
  <si>
    <t>นิ้ว</t>
  </si>
  <si>
    <t>หมายเหตุ</t>
  </si>
  <si>
    <t>เมตร</t>
  </si>
  <si>
    <t xml:space="preserve">- ความเร็วของน้ำในท่อ </t>
  </si>
  <si>
    <t>ชนิดของท่อ</t>
  </si>
  <si>
    <t>- ค่าสัมประสิทธิ์ตามประเภทท่อ (Hazen-williams Coefficient)</t>
  </si>
  <si>
    <t>ที่มา : https://www.engineeringtoolbox.com/hazen-williams-coefficients-d_798.html</t>
  </si>
  <si>
    <t>ค่าสัมประสิทธิ์</t>
  </si>
  <si>
    <t>ท่อ PE</t>
  </si>
  <si>
    <t>ท่อเหล็กกัลวาไนซ์</t>
  </si>
  <si>
    <t>ท่อทองแดง ตะกั่ว อลูมิเนียม</t>
  </si>
  <si>
    <t>มีค่าเท่ากับ</t>
  </si>
  <si>
    <t>1.1 อัตราการไหล (Flow rate), LPM</t>
  </si>
  <si>
    <t>1.4 ค่าสัมประสิทธิ์ตามประเภทท่อ : C</t>
  </si>
  <si>
    <t>1. ข้อมูลเบื้องต้นของระบบ</t>
  </si>
  <si>
    <t>2. การประมาณการเบื้องต้นสำหรับ ข้อต่อ วาล์ว ในระบบ</t>
  </si>
  <si>
    <t>1.3 ความยาวท่อรวมทั้งหมดในระบบ</t>
  </si>
  <si>
    <t>ท่อ PVC ท่อพลาสติก</t>
  </si>
  <si>
    <t>กรุณาระบุ "จำนวน" ของข้อต่อ และวาล์ว ภายในระบบ</t>
  </si>
  <si>
    <t>1) ข้อมูลความเร็วของน้ำในท่อที่เหมาะสม อ้างอิงจาก คู่มือการเลือกชนิดและขนาดของท่อ, สำนักเครื่องจักรกล กรมชลประทาน</t>
  </si>
  <si>
    <t xml:space="preserve">2) ค่าสัมประสิทธิ์ตามประเภทท่อ อ้างอิงตาม สมการของ Hazen-Williams </t>
  </si>
  <si>
    <t>ที่มา : หนังสือ 2015 National Standard Plumbing Code - Illustrated by The Plumbing-Heating-Cooling Contractors (PHCC)</t>
  </si>
  <si>
    <t>- ความยาวสมมูลของข้อต่อ วาล์ว (Equivalent Length of Pipe for Friction loss in threaded fittings &amp; valves)</t>
  </si>
  <si>
    <t>ชนิดข้อต่อ และวาล์ว</t>
  </si>
  <si>
    <t>ความยาวสมมูลของแต่ละท่อ (ฟุต)</t>
  </si>
  <si>
    <t>1/2 นิ้ว</t>
  </si>
  <si>
    <t>3/4 นิ้ว</t>
  </si>
  <si>
    <t>1 นิ้ว</t>
  </si>
  <si>
    <t>1-1/4 นิ้ว</t>
  </si>
  <si>
    <t>1-1/2 นิ้ว</t>
  </si>
  <si>
    <t>2 นิ้ว</t>
  </si>
  <si>
    <t>2-1/2 นิ้ว</t>
  </si>
  <si>
    <t>3 นิ้ว</t>
  </si>
  <si>
    <t>4 นิ้ว</t>
  </si>
  <si>
    <t>5 นิ้ว</t>
  </si>
  <si>
    <t>6 นิ้ว</t>
  </si>
  <si>
    <t>ข้องอ 90 ทั่วไป</t>
  </si>
  <si>
    <t>ข้องอ 45</t>
  </si>
  <si>
    <t>สามทางไหลแยก (Tee, branch)</t>
  </si>
  <si>
    <t>สามทางไหลตรง (Thru Flow)</t>
  </si>
  <si>
    <t>Gate Valve</t>
  </si>
  <si>
    <t>Globe Valve</t>
  </si>
  <si>
    <t>Butterfly Valve</t>
  </si>
  <si>
    <t>Swing Check Valve</t>
  </si>
  <si>
    <t>Angle Valve</t>
  </si>
  <si>
    <t>ลูกบาศก์เมตร/ชั่วโมง ; 1 ลบ.ม. =  1 คิว =  1,000 ลิตร</t>
  </si>
  <si>
    <t>ฟุต</t>
  </si>
  <si>
    <t>รวม (ฟุต)</t>
  </si>
  <si>
    <t>สรุประบบนี้มีความยาวสมมูลทั้งหมด</t>
  </si>
  <si>
    <t>Major loss (การสูญเสียในท่อตรง)</t>
  </si>
  <si>
    <t>Minor loss (การสูญเสียในข้อต่อ)</t>
  </si>
  <si>
    <t>- ความสูญเสียหัวน้ำที่เกิดในระบบ</t>
  </si>
  <si>
    <t>- Friction loss rate (อัตราสูญเสียความฝืด)</t>
  </si>
  <si>
    <t>ฟุต/100 ฟุต</t>
  </si>
  <si>
    <t>ฟุตของน้ำ</t>
  </si>
  <si>
    <t>รวมสูญเสียหัวน้ำ</t>
  </si>
  <si>
    <t>ท่อเหล็ก</t>
  </si>
  <si>
    <t>เมตรของน้ำ</t>
  </si>
  <si>
    <t>1.5 ความสูงจากจุดดูดน้ำไปยังจุดจ่ายน้ำ</t>
  </si>
  <si>
    <t>3. การคำนวณข้อมูล</t>
  </si>
  <si>
    <t>ลิตร/นาที</t>
  </si>
  <si>
    <t>ควรเลือกปั๊มที่มี Spec ดังนี้</t>
  </si>
  <si>
    <t>สามารถจ่ายน้ำได้</t>
  </si>
  <si>
    <t>ขนาดท่อส่งน้ำ</t>
  </si>
  <si>
    <t xml:space="preserve">เมตร </t>
  </si>
  <si>
    <t>Head (ไม่น้อยกว่า)</t>
  </si>
  <si>
    <t>สรุปการเลือกปั๊มเบื้องต้น</t>
  </si>
  <si>
    <t>ค่าเผื่ออุปกรณ์ในระบบ (ร้อยละ)</t>
  </si>
  <si>
    <t>ค่าประสิทธิภาพของปั๊ม (ร้อยละ)</t>
  </si>
  <si>
    <t>กิโลวัตต์</t>
  </si>
  <si>
    <t>ขนาดของปั๊มประมาณ (ไม่น้อยกว่า)</t>
  </si>
  <si>
    <t>แรงม้า (HP)</t>
  </si>
  <si>
    <t>ข้อมูลประกอบที่ใช้ในการคำนวณ</t>
  </si>
  <si>
    <t>แผง Solar cell สำหรับระบบสูบน้ำพลังงานแสงอาทิตย์</t>
  </si>
  <si>
    <t>1. ข้อมูลเบื้องต้นของปั๊มที่ต้องการใช้</t>
  </si>
  <si>
    <t>วัตต์ (W)</t>
  </si>
  <si>
    <t>โวลต์ (V)</t>
  </si>
  <si>
    <t>แอมแปร์ (A)</t>
  </si>
  <si>
    <t>1.1 Maximum Power (Pmax)</t>
  </si>
  <si>
    <t>1.2 Maximum Power Voltage (Vmp)</t>
  </si>
  <si>
    <t>1.3 Maximum Power Current (Imp)</t>
  </si>
  <si>
    <t>2. ข้อมูลเบื้องต้นของแผง Solar cell (1 แผง)</t>
  </si>
  <si>
    <t>แผง</t>
  </si>
  <si>
    <t>3. การคำนวณข้อมูลสำหรับแผง Solar cell</t>
  </si>
  <si>
    <t>การประเมินระบบสูบน้ำเหมาะสมที่จะใช้ Solar cell เป็นแหล่งพลังงานหรือไม่</t>
  </si>
  <si>
    <t>ลูกบาศก์เมตร หรือ คิว</t>
  </si>
  <si>
    <t>- ปริมาตรของน้ำที่ต้องการใช้ใน 1 วัน</t>
  </si>
  <si>
    <t>- Head ของระบบที่ออกแบบไว้</t>
  </si>
  <si>
    <t>ดังนั้น ภาระงานไฮดรอลิก =</t>
  </si>
  <si>
    <t xml:space="preserve">1. ภาระงานไฮดรอลิกมีค่าน้อยกว่า 1,500 m^4 ระบบนี้สามารถใช้ Solar cell เป็นแหล่งพลังงานได้ </t>
  </si>
  <si>
    <t>2. ค่าภาระงานไฮดรอลิกมีค่าระหว่าง 1,500-2,000 m^4 ระบบนี้ยังสามารถใช้งาน Solar cell เป็นแหล่งพลังงานได้ แต่อาจมีแหล่งพลังงานอื่นที่เหมาะสมกว่า</t>
  </si>
  <si>
    <t>3. ค่าภาระงานไฮดรอลิกมีค่ามากกว่า 2,000 m^4 ควรเลือกแหล่งพลังงานชนิดอื่นแทน</t>
  </si>
  <si>
    <t>m^4</t>
  </si>
  <si>
    <r>
      <rPr>
        <u/>
        <sz val="11"/>
        <color theme="1"/>
        <rFont val="Wingdings"/>
        <charset val="2"/>
      </rPr>
      <t>Ü</t>
    </r>
    <r>
      <rPr>
        <u/>
        <sz val="11"/>
        <color theme="1"/>
        <rFont val="Tahoma"/>
        <family val="2"/>
        <charset val="222"/>
        <scheme val="minor"/>
      </rPr>
      <t>ข้อควรพิจารณาก่อนเริ่มออกแบบแผง - ภาระงานไฮดรอลิค (Hydraulic Workload)</t>
    </r>
  </si>
  <si>
    <t xml:space="preserve">สรุปเลือก Spec แผง ลำดับที่ </t>
  </si>
  <si>
    <t xml:space="preserve">มีคุณลักษณะ ดังนี้ </t>
  </si>
  <si>
    <t>อ้างอิงข้อมูลจาก</t>
  </si>
  <si>
    <t>3.1 การคำนวณการต่อแผงที่ต้องใช้ในระบบ</t>
  </si>
  <si>
    <t>- การต่อแผงแบบอนุกรม (เพื่อเพิ่มแรงดัน)</t>
  </si>
  <si>
    <t>- การต่อแผงแบบขนาน (เพื่อเพิ่มกระแส)</t>
  </si>
  <si>
    <t>(สีช่องควรเป็นสีเขียวหรือสีส้ม)</t>
  </si>
  <si>
    <t>คิดเป็น</t>
  </si>
  <si>
    <t>โดย คณะวิศวกรรมศาสตร์ มหาวิทยาลัยเชียงใหม่ พัฒนาจากแนวคิด Ph.D Joe Evans และมหาวิทยาลัยพะเยา</t>
  </si>
  <si>
    <t>โดย คณะวิศวกรรมศาสตร์ มหาวิทยาลัยเชียงใหม่</t>
  </si>
  <si>
    <t>2) ข้อมูลคุณลักษณะของแผง Solar cell จาก Namplate ของแผง ค้นหาแบบ Online ณ เดือน กันยายน 2563</t>
  </si>
  <si>
    <t>จำนวนแผงที่ต้องใช้ในระบบ</t>
  </si>
  <si>
    <t>แผงขนาด (1 แผง)</t>
  </si>
  <si>
    <t>รวม</t>
  </si>
  <si>
    <t>ต่อแผงแบบอนุกรม</t>
  </si>
  <si>
    <t>แผง ; กรณีค่าเท่ากับ 1 หมายถึง ใช้แผง 1 แผงต่อ 1 แถว ไม่มีการต่ออนุกรมกับแผงอื่น</t>
  </si>
  <si>
    <t>ต่อแถวแบบขนาน</t>
  </si>
  <si>
    <t>แถว ; กรณีค่าเท่ากับ 1 หมายถึง มีแผงเพียง 1 แถว ไม่มีการต่อขนานกับแถวอื่น</t>
  </si>
  <si>
    <t>แถว</t>
  </si>
  <si>
    <t>กำลังการผลิตของแผงทั้งระบบรวม</t>
  </si>
  <si>
    <t>สรุปการเลือกขนาดและจำนวนแผง Solar cell สำหรับระบบสูบน้ำพลังงานแสงอาทิตย์</t>
  </si>
  <si>
    <r>
      <t xml:space="preserve">เมตร/วินาที </t>
    </r>
    <r>
      <rPr>
        <sz val="11"/>
        <color rgb="FFFF0000"/>
        <rFont val="Tahoma"/>
        <family val="2"/>
        <scheme val="minor"/>
      </rPr>
      <t xml:space="preserve">; ควรอยู่ระหว่าง 1.2-2.4 เมตร/วินาที </t>
    </r>
  </si>
  <si>
    <t>1.2 กำลังไฟฟ้า</t>
  </si>
  <si>
    <t>1.3 แรงดันไฟฟ้า</t>
  </si>
  <si>
    <t>1.4 กระแสไฟฟ้า</t>
  </si>
  <si>
    <t>1.1 Model ของปั๊ม</t>
  </si>
  <si>
    <t>3.2 การคำนวณแรงดันและกระแสไฟฟ้ารวมของแผง</t>
  </si>
  <si>
    <t>- กระแสไฟฟ้าของระบบรวม</t>
  </si>
  <si>
    <t>- แรงดันไฟฟ้าของระบบรวม</t>
  </si>
  <si>
    <t xml:space="preserve">หมายเหตุ - ค่า Derating factor = 0.85 คือ ค่าเฉลี่ยตัวคูณลดที่ส่งผลต่อประสิทธิภาพแผง เช่น loss การต่อสายไฟ การบังเงา ความสะอาดของหน้าแผง อายุการใช้งาน </t>
  </si>
  <si>
    <t xml:space="preserve">- การต่อแผงแบบอนุกรม </t>
  </si>
  <si>
    <t xml:space="preserve">- การต่อแผงแบบขนาน </t>
  </si>
  <si>
    <t>เมื่อคำนวณแรงดันและกระแส</t>
  </si>
  <si>
    <t>*กรณีต้องการลดจำนวนของแผงในระบบ (ไม่แนะนำ)</t>
  </si>
  <si>
    <t>ค่า V และ I ควรเป็น "สีเขียว" เนื่องจากค่าแรงดันและกระแสรวมของแผง ควรมีค่ามากกว่า Spec ของปั๊มน้ำ เพื่อให้ปั๊มสามารถทำงานได้</t>
  </si>
  <si>
    <t>ลำดับ</t>
  </si>
  <si>
    <t>ชนิด</t>
  </si>
  <si>
    <t>แรงดัน (Vmp)</t>
  </si>
  <si>
    <t>กระแส (Imp)</t>
  </si>
  <si>
    <t>Poly</t>
  </si>
  <si>
    <t>ขนาดแผง</t>
  </si>
  <si>
    <t>กว้าง (m)</t>
  </si>
  <si>
    <t>สูง (m)</t>
  </si>
  <si>
    <t>Mono</t>
  </si>
  <si>
    <t>Custom</t>
  </si>
  <si>
    <t>*ลำดับ Custom สามารถกรอกข้อมูล Spec แผง ที่ท่านต้องการใช้จริง</t>
  </si>
  <si>
    <t>การแปลงหน่วย</t>
  </si>
  <si>
    <t>ความยาว</t>
  </si>
  <si>
    <t>เท่ากับ</t>
  </si>
  <si>
    <t>เมตร (m)</t>
  </si>
  <si>
    <t>เซนติเมตร (cm)</t>
  </si>
  <si>
    <t>มิลลิเมตร (mm)</t>
  </si>
  <si>
    <t>ฟุต (ft)</t>
  </si>
  <si>
    <t>นิ้ว (in)</t>
  </si>
  <si>
    <t>ปริมาตร</t>
  </si>
  <si>
    <t>ลูกบาศก์เมตร (m^3)</t>
  </si>
  <si>
    <t>ลิตร (litre)</t>
  </si>
  <si>
    <t>ลูกบาศก์ ซม. (CC)</t>
  </si>
  <si>
    <t>ลูกบาศก์ฟุต (ft^3)</t>
  </si>
  <si>
    <t>แกลลอน (US.gal)</t>
  </si>
  <si>
    <t>อัตราไหล</t>
  </si>
  <si>
    <t>ลบ.เมตร/วินาที</t>
  </si>
  <si>
    <t>ลิตร/นาที (LPM)</t>
  </si>
  <si>
    <t>กำลัง</t>
  </si>
  <si>
    <t>กิโลวัตต์ (kW)</t>
  </si>
  <si>
    <t>กรอกข้อมูลเฉพาะช่องสีเหลืองเท่านั้น</t>
  </si>
  <si>
    <r>
      <rPr>
        <u/>
        <sz val="11"/>
        <color theme="10"/>
        <rFont val="Wingdings"/>
        <charset val="2"/>
      </rPr>
      <t xml:space="preserve">J </t>
    </r>
    <r>
      <rPr>
        <u/>
        <sz val="11"/>
        <color theme="10"/>
        <rFont val="Tahoma"/>
        <family val="2"/>
        <charset val="222"/>
        <scheme val="minor"/>
      </rPr>
      <t>กลับสู่ด้านบน</t>
    </r>
  </si>
  <si>
    <t>1) Prof. Jenkin, T .2014. Designing Solar Water Pumping Systems for Livestock [Online] Available from https://aces.nmsu.edu/pubs/_circulars/CR670.pdf</t>
  </si>
  <si>
    <t>โวลต์ (Vdc)</t>
  </si>
  <si>
    <t>แรงดันไฟฟ้า (DC)</t>
  </si>
  <si>
    <t>กระแสไฟฟ้า (DC)</t>
  </si>
  <si>
    <t>แอมแปร์ (Idc)</t>
  </si>
  <si>
    <r>
      <t>1.2 ขนาดเส้นผ่า</t>
    </r>
    <r>
      <rPr>
        <sz val="11"/>
        <rFont val="Tahoma"/>
        <family val="2"/>
        <scheme val="minor"/>
      </rPr>
      <t>ศูนย์กลาง</t>
    </r>
    <r>
      <rPr>
        <i/>
        <u/>
        <sz val="11"/>
        <color rgb="FFFF0000"/>
        <rFont val="Tahoma"/>
        <family val="2"/>
        <scheme val="minor"/>
      </rPr>
      <t>ภายใน</t>
    </r>
    <r>
      <rPr>
        <sz val="11"/>
        <color theme="1"/>
        <rFont val="Tahoma"/>
        <family val="2"/>
        <charset val="222"/>
        <scheme val="minor"/>
      </rPr>
      <t>ท่อ</t>
    </r>
  </si>
  <si>
    <t>3CSP3-35-24-300</t>
  </si>
  <si>
    <t>โปรแกรม</t>
  </si>
  <si>
    <t>ออกแบบเอง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</si>
</sst>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000_-;\-* #,##0.00000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8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i/>
      <u/>
      <sz val="11"/>
      <color rgb="FFFF0000"/>
      <name val="Tahoma"/>
      <family val="2"/>
      <scheme val="minor"/>
    </font>
    <font>
      <sz val="1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color theme="1"/>
      <name val="Tahoma"/>
      <family val="2"/>
      <scheme val="minor"/>
    </font>
    <font>
      <b/>
      <u/>
      <sz val="14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u/>
      <sz val="11"/>
      <color theme="0"/>
      <name val="Tahoma"/>
      <family val="2"/>
      <scheme val="minor"/>
    </font>
    <font>
      <b/>
      <sz val="11"/>
      <color theme="0"/>
      <name val="Tahoma"/>
      <family val="2"/>
      <scheme val="minor"/>
    </font>
    <font>
      <b/>
      <u/>
      <sz val="11"/>
      <color theme="1"/>
      <name val="Tahoma"/>
      <family val="2"/>
      <scheme val="minor"/>
    </font>
    <font>
      <i/>
      <sz val="11"/>
      <color theme="1"/>
      <name val="Tahoma"/>
      <family val="2"/>
      <scheme val="minor"/>
    </font>
    <font>
      <u/>
      <sz val="11"/>
      <color theme="1"/>
      <name val="Tahoma"/>
      <family val="2"/>
      <charset val="222"/>
      <scheme val="minor"/>
    </font>
    <font>
      <u/>
      <sz val="11"/>
      <color theme="1"/>
      <name val="Wingdings"/>
      <charset val="2"/>
    </font>
    <font>
      <sz val="11"/>
      <name val="Tahoma"/>
      <family val="2"/>
      <charset val="222"/>
      <scheme val="minor"/>
    </font>
    <font>
      <i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i/>
      <u/>
      <sz val="11"/>
      <color theme="1"/>
      <name val="Tahoma"/>
      <family val="2"/>
      <scheme val="minor"/>
    </font>
    <font>
      <u/>
      <sz val="11"/>
      <color theme="10"/>
      <name val="Wingdings"/>
      <charset val="2"/>
    </font>
    <font>
      <u/>
      <sz val="14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0" xfId="0" applyFill="1"/>
    <xf numFmtId="0" fontId="2" fillId="0" borderId="0" xfId="0" quotePrefix="1" applyFont="1"/>
    <xf numFmtId="0" fontId="2" fillId="0" borderId="0" xfId="0" applyFont="1"/>
    <xf numFmtId="0" fontId="0" fillId="0" borderId="0" xfId="0" applyFill="1"/>
    <xf numFmtId="0" fontId="9" fillId="0" borderId="0" xfId="0" applyFont="1"/>
    <xf numFmtId="187" fontId="0" fillId="0" borderId="1" xfId="2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5" fillId="0" borderId="0" xfId="0" applyFont="1"/>
    <xf numFmtId="43" fontId="0" fillId="0" borderId="0" xfId="0" applyNumberFormat="1"/>
    <xf numFmtId="0" fontId="0" fillId="0" borderId="0" xfId="0" quotePrefix="1" applyAlignment="1" applyProtection="1">
      <alignment horizontal="left" indent="1"/>
      <protection locked="0"/>
    </xf>
    <xf numFmtId="0" fontId="0" fillId="0" borderId="0" xfId="0" quotePrefix="1"/>
    <xf numFmtId="0" fontId="0" fillId="0" borderId="0" xfId="0" quotePrefix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right"/>
    </xf>
    <xf numFmtId="188" fontId="17" fillId="0" borderId="0" xfId="2" applyNumberFormat="1" applyFont="1" applyBorder="1"/>
    <xf numFmtId="0" fontId="18" fillId="0" borderId="0" xfId="0" applyFont="1" applyProtection="1">
      <protection locked="0"/>
    </xf>
    <xf numFmtId="0" fontId="15" fillId="9" borderId="0" xfId="0" applyFont="1" applyFill="1"/>
    <xf numFmtId="0" fontId="15" fillId="8" borderId="0" xfId="0" applyFont="1" applyFill="1"/>
    <xf numFmtId="0" fontId="15" fillId="10" borderId="0" xfId="0" applyFont="1" applyFill="1"/>
    <xf numFmtId="188" fontId="0" fillId="0" borderId="0" xfId="2" applyNumberFormat="1" applyFont="1" applyFill="1" applyBorder="1"/>
    <xf numFmtId="188" fontId="0" fillId="3" borderId="1" xfId="2" applyNumberFormat="1" applyFont="1" applyFill="1" applyBorder="1"/>
    <xf numFmtId="188" fontId="2" fillId="3" borderId="19" xfId="2" applyNumberFormat="1" applyFont="1" applyFill="1" applyBorder="1"/>
    <xf numFmtId="43" fontId="0" fillId="3" borderId="1" xfId="2" applyFont="1" applyFill="1" applyBorder="1"/>
    <xf numFmtId="0" fontId="0" fillId="0" borderId="0" xfId="0" applyAlignment="1">
      <alignment horizontal="center"/>
    </xf>
    <xf numFmtId="0" fontId="21" fillId="0" borderId="0" xfId="0" applyFont="1"/>
    <xf numFmtId="0" fontId="21" fillId="0" borderId="0" xfId="0" applyFont="1" applyProtection="1">
      <protection locked="0"/>
    </xf>
    <xf numFmtId="0" fontId="15" fillId="0" borderId="0" xfId="0" applyFont="1" applyFill="1"/>
    <xf numFmtId="0" fontId="22" fillId="0" borderId="0" xfId="0" applyFont="1"/>
    <xf numFmtId="0" fontId="20" fillId="0" borderId="0" xfId="0" applyFont="1"/>
    <xf numFmtId="0" fontId="0" fillId="0" borderId="0" xfId="0" applyAlignment="1">
      <alignment horizontal="left" indent="1"/>
    </xf>
    <xf numFmtId="43" fontId="0" fillId="3" borderId="1" xfId="2" applyNumberFormat="1" applyFont="1" applyFill="1" applyBorder="1"/>
    <xf numFmtId="0" fontId="8" fillId="0" borderId="0" xfId="0" applyFont="1" applyFill="1"/>
    <xf numFmtId="0" fontId="23" fillId="0" borderId="0" xfId="0" applyFont="1"/>
    <xf numFmtId="0" fontId="24" fillId="0" borderId="0" xfId="0" applyFont="1"/>
    <xf numFmtId="0" fontId="17" fillId="0" borderId="0" xfId="0" quotePrefix="1" applyFont="1" applyAlignment="1">
      <alignment horizontal="left" indent="1"/>
    </xf>
    <xf numFmtId="43" fontId="17" fillId="3" borderId="1" xfId="2" applyFont="1" applyFill="1" applyBorder="1"/>
    <xf numFmtId="189" fontId="0" fillId="3" borderId="1" xfId="0" applyNumberFormat="1" applyFill="1" applyBorder="1"/>
    <xf numFmtId="1" fontId="0" fillId="3" borderId="1" xfId="0" applyNumberFormat="1" applyFill="1" applyBorder="1"/>
    <xf numFmtId="0" fontId="0" fillId="11" borderId="0" xfId="0" applyFill="1"/>
    <xf numFmtId="0" fontId="5" fillId="11" borderId="0" xfId="0" applyFont="1" applyFill="1"/>
    <xf numFmtId="0" fontId="16" fillId="11" borderId="0" xfId="0" applyFont="1" applyFill="1"/>
    <xf numFmtId="0" fontId="20" fillId="11" borderId="0" xfId="0" applyFont="1" applyFill="1"/>
    <xf numFmtId="0" fontId="0" fillId="11" borderId="0" xfId="0" applyFill="1" applyAlignment="1">
      <alignment horizontal="left" indent="1"/>
    </xf>
    <xf numFmtId="188" fontId="20" fillId="3" borderId="1" xfId="2" applyNumberFormat="1" applyFont="1" applyFill="1" applyBorder="1"/>
    <xf numFmtId="0" fontId="0" fillId="12" borderId="1" xfId="0" applyFill="1" applyBorder="1" applyAlignment="1">
      <alignment horizontal="center"/>
    </xf>
    <xf numFmtId="188" fontId="0" fillId="12" borderId="1" xfId="2" applyNumberFormat="1" applyFont="1" applyFill="1" applyBorder="1" applyAlignment="1">
      <alignment horizontal="center"/>
    </xf>
    <xf numFmtId="43" fontId="0" fillId="12" borderId="1" xfId="2" applyFont="1" applyFill="1" applyBorder="1" applyAlignment="1">
      <alignment horizontal="center"/>
    </xf>
    <xf numFmtId="0" fontId="18" fillId="0" borderId="0" xfId="0" applyFont="1"/>
    <xf numFmtId="0" fontId="0" fillId="7" borderId="0" xfId="0" applyFill="1"/>
    <xf numFmtId="0" fontId="0" fillId="14" borderId="0" xfId="0" applyFill="1"/>
    <xf numFmtId="0" fontId="0" fillId="7" borderId="0" xfId="0" applyFill="1" applyAlignment="1">
      <alignment horizontal="center"/>
    </xf>
    <xf numFmtId="0" fontId="3" fillId="0" borderId="0" xfId="1" quotePrefix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29" xfId="0" applyBorder="1"/>
    <xf numFmtId="0" fontId="0" fillId="14" borderId="0" xfId="0" applyFill="1" applyAlignment="1">
      <alignment horizontal="center"/>
    </xf>
    <xf numFmtId="43" fontId="0" fillId="0" borderId="0" xfId="2" applyFont="1" applyBorder="1"/>
    <xf numFmtId="0" fontId="0" fillId="4" borderId="0" xfId="0" applyFill="1" applyAlignment="1">
      <alignment horizontal="center"/>
    </xf>
    <xf numFmtId="43" fontId="0" fillId="0" borderId="31" xfId="2" applyFont="1" applyBorder="1"/>
    <xf numFmtId="43" fontId="0" fillId="0" borderId="0" xfId="2" applyFont="1"/>
    <xf numFmtId="43" fontId="0" fillId="0" borderId="26" xfId="2" applyFont="1" applyBorder="1"/>
    <xf numFmtId="0" fontId="0" fillId="16" borderId="0" xfId="0" applyFill="1"/>
    <xf numFmtId="0" fontId="0" fillId="16" borderId="0" xfId="0" applyFill="1" applyAlignment="1">
      <alignment horizontal="center"/>
    </xf>
    <xf numFmtId="43" fontId="0" fillId="2" borderId="1" xfId="2" applyFont="1" applyFill="1" applyBorder="1"/>
    <xf numFmtId="0" fontId="11" fillId="0" borderId="0" xfId="0" applyFont="1"/>
    <xf numFmtId="43" fontId="0" fillId="0" borderId="1" xfId="2" applyFont="1" applyBorder="1"/>
    <xf numFmtId="190" fontId="0" fillId="0" borderId="1" xfId="2" applyNumberFormat="1" applyFont="1" applyBorder="1"/>
    <xf numFmtId="43" fontId="0" fillId="0" borderId="1" xfId="2" applyNumberFormat="1" applyFont="1" applyBorder="1"/>
    <xf numFmtId="0" fontId="0" fillId="0" borderId="0" xfId="0" applyFill="1" applyAlignment="1">
      <alignment horizontal="center"/>
    </xf>
    <xf numFmtId="0" fontId="26" fillId="17" borderId="0" xfId="0" applyFont="1" applyFill="1"/>
    <xf numFmtId="0" fontId="27" fillId="17" borderId="0" xfId="0" applyFont="1" applyFill="1"/>
    <xf numFmtId="0" fontId="26" fillId="18" borderId="0" xfId="0" applyFont="1" applyFill="1"/>
    <xf numFmtId="0" fontId="0" fillId="18" borderId="0" xfId="0" applyFill="1"/>
    <xf numFmtId="0" fontId="27" fillId="0" borderId="0" xfId="0" applyFont="1"/>
    <xf numFmtId="0" fontId="27" fillId="0" borderId="0" xfId="0" applyFont="1" applyAlignment="1">
      <alignment horizontal="center"/>
    </xf>
    <xf numFmtId="0" fontId="26" fillId="13" borderId="0" xfId="0" applyFont="1" applyFill="1"/>
    <xf numFmtId="0" fontId="27" fillId="13" borderId="0" xfId="0" applyFont="1" applyFill="1"/>
    <xf numFmtId="0" fontId="26" fillId="15" borderId="0" xfId="0" applyFont="1" applyFill="1"/>
    <xf numFmtId="0" fontId="27" fillId="15" borderId="0" xfId="0" applyFont="1" applyFill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2" fillId="0" borderId="0" xfId="0" applyFont="1" applyProtection="1"/>
    <xf numFmtId="0" fontId="14" fillId="7" borderId="0" xfId="0" applyFont="1" applyFill="1" applyProtection="1"/>
    <xf numFmtId="0" fontId="15" fillId="7" borderId="0" xfId="0" applyFont="1" applyFill="1" applyProtection="1"/>
    <xf numFmtId="0" fontId="0" fillId="0" borderId="0" xfId="0" quotePrefix="1" applyProtection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right"/>
    </xf>
    <xf numFmtId="0" fontId="14" fillId="6" borderId="0" xfId="0" applyFont="1" applyFill="1" applyProtection="1"/>
    <xf numFmtId="0" fontId="15" fillId="6" borderId="0" xfId="0" quotePrefix="1" applyFont="1" applyFill="1" applyProtection="1"/>
    <xf numFmtId="0" fontId="15" fillId="6" borderId="0" xfId="0" applyFont="1" applyFill="1" applyBorder="1" applyProtection="1"/>
    <xf numFmtId="0" fontId="15" fillId="6" borderId="0" xfId="0" applyFont="1" applyFill="1" applyProtection="1"/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0" fillId="0" borderId="18" xfId="0" applyBorder="1" applyProtection="1"/>
    <xf numFmtId="43" fontId="0" fillId="3" borderId="15" xfId="2" applyNumberFormat="1" applyFont="1" applyFill="1" applyBorder="1" applyProtection="1"/>
    <xf numFmtId="0" fontId="0" fillId="0" borderId="8" xfId="0" applyBorder="1" applyProtection="1"/>
    <xf numFmtId="43" fontId="0" fillId="3" borderId="17" xfId="2" applyNumberFormat="1" applyFont="1" applyFill="1" applyBorder="1" applyProtection="1"/>
    <xf numFmtId="0" fontId="0" fillId="0" borderId="9" xfId="0" applyBorder="1" applyProtection="1"/>
    <xf numFmtId="43" fontId="0" fillId="3" borderId="12" xfId="2" applyNumberFormat="1" applyFont="1" applyFill="1" applyBorder="1" applyProtection="1"/>
    <xf numFmtId="187" fontId="0" fillId="0" borderId="0" xfId="2" applyNumberFormat="1" applyFont="1" applyFill="1" applyBorder="1" applyAlignment="1" applyProtection="1">
      <alignment horizontal="left"/>
    </xf>
    <xf numFmtId="187" fontId="0" fillId="0" borderId="0" xfId="2" applyNumberFormat="1" applyFont="1" applyFill="1" applyBorder="1" applyAlignment="1" applyProtection="1">
      <alignment horizontal="center"/>
    </xf>
    <xf numFmtId="0" fontId="14" fillId="8" borderId="0" xfId="0" applyFont="1" applyFill="1" applyProtection="1"/>
    <xf numFmtId="0" fontId="15" fillId="8" borderId="0" xfId="0" quotePrefix="1" applyFont="1" applyFill="1" applyProtection="1"/>
    <xf numFmtId="0" fontId="15" fillId="8" borderId="0" xfId="0" applyFont="1" applyFill="1" applyBorder="1" applyProtection="1"/>
    <xf numFmtId="0" fontId="15" fillId="8" borderId="0" xfId="0" applyFont="1" applyFill="1" applyProtection="1"/>
    <xf numFmtId="0" fontId="5" fillId="0" borderId="0" xfId="0" applyFont="1" applyProtection="1"/>
    <xf numFmtId="0" fontId="0" fillId="0" borderId="0" xfId="0" applyAlignment="1" applyProtection="1">
      <alignment horizontal="left" indent="1"/>
    </xf>
    <xf numFmtId="0" fontId="0" fillId="5" borderId="0" xfId="0" applyFill="1" applyProtection="1"/>
    <xf numFmtId="0" fontId="16" fillId="5" borderId="0" xfId="0" applyFont="1" applyFill="1" applyProtection="1"/>
    <xf numFmtId="0" fontId="2" fillId="5" borderId="0" xfId="0" applyFont="1" applyFill="1" applyProtection="1"/>
    <xf numFmtId="0" fontId="0" fillId="5" borderId="0" xfId="0" applyFill="1" applyAlignment="1" applyProtection="1">
      <alignment horizontal="right"/>
    </xf>
    <xf numFmtId="0" fontId="0" fillId="5" borderId="0" xfId="0" applyFill="1" applyAlignment="1" applyProtection="1">
      <alignment horizontal="left" indent="1"/>
    </xf>
    <xf numFmtId="43" fontId="0" fillId="0" borderId="0" xfId="0" applyNumberFormat="1" applyProtection="1"/>
    <xf numFmtId="43" fontId="0" fillId="3" borderId="1" xfId="2" applyFont="1" applyFill="1" applyBorder="1" applyProtection="1"/>
    <xf numFmtId="43" fontId="0" fillId="5" borderId="0" xfId="0" applyNumberFormat="1" applyFill="1" applyBorder="1" applyAlignment="1" applyProtection="1">
      <alignment horizontal="center"/>
    </xf>
    <xf numFmtId="43" fontId="0" fillId="5" borderId="0" xfId="2" applyFont="1" applyFill="1" applyBorder="1" applyProtection="1"/>
    <xf numFmtId="0" fontId="1" fillId="0" borderId="0" xfId="0" applyFont="1" applyProtection="1"/>
    <xf numFmtId="0" fontId="3" fillId="0" borderId="0" xfId="1" applyProtection="1"/>
    <xf numFmtId="188" fontId="0" fillId="2" borderId="19" xfId="2" applyNumberFormat="1" applyFont="1" applyFill="1" applyBorder="1" applyAlignment="1" applyProtection="1">
      <alignment horizontal="center"/>
      <protection locked="0"/>
    </xf>
    <xf numFmtId="188" fontId="0" fillId="2" borderId="20" xfId="2" applyNumberFormat="1" applyFont="1" applyFill="1" applyBorder="1" applyAlignment="1" applyProtection="1">
      <alignment horizontal="center"/>
      <protection locked="0"/>
    </xf>
    <xf numFmtId="188" fontId="0" fillId="2" borderId="1" xfId="2" applyNumberFormat="1" applyFont="1" applyFill="1" applyBorder="1" applyAlignment="1" applyProtection="1">
      <alignment horizontal="center"/>
      <protection locked="0"/>
    </xf>
    <xf numFmtId="188" fontId="0" fillId="2" borderId="13" xfId="2" applyNumberFormat="1" applyFont="1" applyFill="1" applyBorder="1" applyAlignment="1" applyProtection="1">
      <alignment horizontal="center"/>
      <protection locked="0"/>
    </xf>
    <xf numFmtId="188" fontId="0" fillId="2" borderId="10" xfId="2" applyNumberFormat="1" applyFont="1" applyFill="1" applyBorder="1" applyAlignment="1" applyProtection="1">
      <alignment horizontal="center"/>
      <protection locked="0"/>
    </xf>
    <xf numFmtId="188" fontId="0" fillId="2" borderId="14" xfId="2" applyNumberFormat="1" applyFont="1" applyFill="1" applyBorder="1" applyAlignment="1" applyProtection="1">
      <alignment horizontal="center"/>
      <protection locked="0"/>
    </xf>
    <xf numFmtId="188" fontId="0" fillId="2" borderId="22" xfId="2" applyNumberFormat="1" applyFont="1" applyFill="1" applyBorder="1" applyProtection="1">
      <protection locked="0"/>
    </xf>
    <xf numFmtId="187" fontId="0" fillId="2" borderId="12" xfId="2" applyNumberFormat="1" applyFont="1" applyFill="1" applyBorder="1" applyProtection="1">
      <protection locked="0"/>
    </xf>
    <xf numFmtId="187" fontId="0" fillId="2" borderId="22" xfId="2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3" fontId="0" fillId="2" borderId="1" xfId="2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Protection="1">
      <protection locked="0"/>
    </xf>
    <xf numFmtId="187" fontId="0" fillId="2" borderId="22" xfId="2" applyNumberFormat="1" applyFont="1" applyFill="1" applyBorder="1"/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187" fontId="0" fillId="3" borderId="2" xfId="2" applyNumberFormat="1" applyFont="1" applyFill="1" applyBorder="1" applyAlignment="1" applyProtection="1">
      <alignment horizontal="center"/>
    </xf>
    <xf numFmtId="187" fontId="0" fillId="3" borderId="3" xfId="2" applyNumberFormat="1" applyFont="1" applyFill="1" applyBorder="1" applyAlignment="1" applyProtection="1">
      <alignment horizontal="center"/>
    </xf>
    <xf numFmtId="187" fontId="0" fillId="3" borderId="4" xfId="2" applyNumberFormat="1" applyFont="1" applyFill="1" applyBorder="1" applyAlignment="1" applyProtection="1">
      <alignment horizontal="center"/>
    </xf>
    <xf numFmtId="43" fontId="0" fillId="3" borderId="19" xfId="2" applyFont="1" applyFill="1" applyBorder="1" applyAlignment="1" applyProtection="1">
      <alignment horizontal="right"/>
    </xf>
    <xf numFmtId="43" fontId="0" fillId="3" borderId="1" xfId="2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1" fillId="0" borderId="5" xfId="0" quotePrefix="1" applyFont="1" applyBorder="1" applyAlignment="1" applyProtection="1">
      <alignment horizontal="center" vertical="center"/>
    </xf>
    <xf numFmtId="0" fontId="11" fillId="0" borderId="9" xfId="0" quotePrefix="1" applyFont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43" fontId="0" fillId="2" borderId="2" xfId="2" applyFont="1" applyFill="1" applyBorder="1" applyAlignment="1" applyProtection="1">
      <alignment horizontal="center"/>
      <protection locked="0"/>
    </xf>
    <xf numFmtId="43" fontId="0" fillId="2" borderId="3" xfId="2" applyFont="1" applyFill="1" applyBorder="1" applyAlignment="1" applyProtection="1">
      <alignment horizontal="center"/>
      <protection locked="0"/>
    </xf>
    <xf numFmtId="43" fontId="0" fillId="2" borderId="4" xfId="2" applyFont="1" applyFill="1" applyBorder="1" applyAlignment="1" applyProtection="1">
      <alignment horizontal="center"/>
      <protection locked="0"/>
    </xf>
    <xf numFmtId="43" fontId="0" fillId="3" borderId="19" xfId="2" applyFont="1" applyFill="1" applyBorder="1" applyAlignment="1" applyProtection="1">
      <alignment horizontal="center"/>
    </xf>
    <xf numFmtId="43" fontId="0" fillId="2" borderId="2" xfId="2" applyFont="1" applyFill="1" applyBorder="1" applyAlignment="1" applyProtection="1">
      <alignment horizontal="right"/>
      <protection locked="0"/>
    </xf>
    <xf numFmtId="43" fontId="0" fillId="2" borderId="3" xfId="2" applyFont="1" applyFill="1" applyBorder="1" applyAlignment="1" applyProtection="1">
      <alignment horizontal="right"/>
      <protection locked="0"/>
    </xf>
    <xf numFmtId="43" fontId="0" fillId="2" borderId="4" xfId="2" applyFont="1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3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188" fontId="0" fillId="2" borderId="2" xfId="2" applyNumberFormat="1" applyFont="1" applyFill="1" applyBorder="1" applyAlignment="1" applyProtection="1">
      <alignment horizontal="right"/>
      <protection locked="0"/>
    </xf>
    <xf numFmtId="188" fontId="0" fillId="2" borderId="3" xfId="2" applyNumberFormat="1" applyFont="1" applyFill="1" applyBorder="1" applyAlignment="1" applyProtection="1">
      <alignment horizontal="right"/>
      <protection locked="0"/>
    </xf>
    <xf numFmtId="188" fontId="0" fillId="2" borderId="4" xfId="2" applyNumberFormat="1" applyFont="1" applyFill="1" applyBorder="1" applyAlignment="1" applyProtection="1">
      <alignment horizontal="right"/>
      <protection locked="0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0" borderId="1" xfId="0" quotePrefix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28" fillId="2" borderId="23" xfId="0" applyFont="1" applyFill="1" applyBorder="1" applyAlignment="1" applyProtection="1">
      <alignment horizontal="center"/>
      <protection locked="0"/>
    </xf>
    <xf numFmtId="0" fontId="28" fillId="2" borderId="24" xfId="0" applyFont="1" applyFill="1" applyBorder="1" applyAlignment="1" applyProtection="1">
      <alignment horizontal="center"/>
      <protection locked="0"/>
    </xf>
    <xf numFmtId="0" fontId="28" fillId="3" borderId="1" xfId="0" applyFont="1" applyFill="1" applyBorder="1" applyAlignment="1">
      <alignment horizontal="center"/>
    </xf>
    <xf numFmtId="0" fontId="28" fillId="19" borderId="1" xfId="0" applyFont="1" applyFill="1" applyBorder="1" applyAlignment="1">
      <alignment horizontal="center"/>
    </xf>
    <xf numFmtId="188" fontId="20" fillId="19" borderId="1" xfId="2" applyNumberFormat="1" applyFont="1" applyFill="1" applyBorder="1"/>
    <xf numFmtId="188" fontId="0" fillId="19" borderId="1" xfId="2" applyNumberFormat="1" applyFont="1" applyFill="1" applyBorder="1"/>
    <xf numFmtId="43" fontId="0" fillId="19" borderId="1" xfId="2" applyNumberFormat="1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b/>
        <i/>
        <color rgb="FF006100"/>
      </font>
      <fill>
        <patternFill>
          <bgColor rgb="FFC6EFCE"/>
        </patternFill>
      </fill>
    </dxf>
    <dxf>
      <font>
        <b/>
        <i/>
        <color theme="0"/>
      </font>
      <fill>
        <patternFill patternType="solid">
          <fgColor auto="1"/>
          <bgColor rgb="FFFF6600"/>
        </patternFill>
      </fill>
    </dxf>
    <dxf>
      <font>
        <b/>
        <i/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C00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179734</xdr:colOff>
      <xdr:row>47</xdr:row>
      <xdr:rowOff>161925</xdr:rowOff>
    </xdr:from>
    <xdr:to>
      <xdr:col>6</xdr:col>
      <xdr:colOff>419100</xdr:colOff>
      <xdr:row>60</xdr:row>
      <xdr:rowOff>123825</xdr:rowOff>
    </xdr:to>
    <xdr:grpSp>
      <xdr:nvGrpSpPr>
        <xdr:cNvPr id="43" name="Group 42"/>
        <xdr:cNvGrpSpPr/>
      </xdr:nvGrpSpPr>
      <xdr:grpSpPr>
        <a:xfrm>
          <a:off x="646459" y="8810625"/>
          <a:ext cx="4316066" cy="2314575"/>
          <a:chOff x="1250899" y="11226362"/>
          <a:chExt cx="5219532" cy="2854098"/>
        </a:xfrm>
      </xdr:grpSpPr>
      <xdr:grpSp>
        <xdr:nvGrpSpPr>
          <xdr:cNvPr id="44" name="Group 43"/>
          <xdr:cNvGrpSpPr/>
        </xdr:nvGrpSpPr>
        <xdr:grpSpPr>
          <a:xfrm>
            <a:off x="2391689" y="11226362"/>
            <a:ext cx="2709061" cy="2854098"/>
            <a:chOff x="2391689" y="11226362"/>
            <a:chExt cx="2709061" cy="2854098"/>
          </a:xfrm>
        </xdr:grpSpPr>
        <xdr:sp macro="" textlink="">
          <xdr:nvSpPr>
            <xdr:cNvPr id="68" name="Rounded Rectangle 67"/>
            <xdr:cNvSpPr/>
          </xdr:nvSpPr>
          <xdr:spPr>
            <a:xfrm>
              <a:off x="3330466" y="11226362"/>
              <a:ext cx="873672" cy="2167759"/>
            </a:xfrm>
            <a:prstGeom prst="roundRect">
              <a:avLst/>
            </a:prstGeom>
            <a:solidFill>
              <a:schemeClr val="accent6">
                <a:lumMod val="40000"/>
                <a:lumOff val="60000"/>
              </a:schemeClr>
            </a:solidFill>
            <a:ln w="28575">
              <a:solidFill>
                <a:srgbClr val="00B050"/>
              </a:solidFill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69" name="Right Arrow 68"/>
            <xdr:cNvSpPr/>
          </xdr:nvSpPr>
          <xdr:spPr>
            <a:xfrm rot="5400000">
              <a:off x="3585646" y="13492909"/>
              <a:ext cx="277411" cy="170035"/>
            </a:xfrm>
            <a:prstGeom prst="rightArrow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70" name="TextBox 69"/>
            <xdr:cNvSpPr txBox="1"/>
          </xdr:nvSpPr>
          <xdr:spPr>
            <a:xfrm>
              <a:off x="2391689" y="13744684"/>
              <a:ext cx="2709061" cy="335776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h-TH" sz="1000"/>
                <a:t>จำนวนแถวที่ต่อแบบขนาน</a:t>
              </a:r>
            </a:p>
          </xdr:txBody>
        </xdr:sp>
      </xdr:grpSp>
      <xdr:grpSp>
        <xdr:nvGrpSpPr>
          <xdr:cNvPr id="45" name="Group 44"/>
          <xdr:cNvGrpSpPr/>
        </xdr:nvGrpSpPr>
        <xdr:grpSpPr>
          <a:xfrm>
            <a:off x="1250899" y="11427184"/>
            <a:ext cx="3332594" cy="1888296"/>
            <a:chOff x="1250899" y="11427184"/>
            <a:chExt cx="3332594" cy="1888296"/>
          </a:xfrm>
        </xdr:grpSpPr>
        <xdr:pic>
          <xdr:nvPicPr>
            <xdr:cNvPr id="50" name="Picture 4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843627" y="11427184"/>
              <a:ext cx="758921" cy="773825"/>
            </a:xfrm>
            <a:prstGeom prst="rect">
              <a:avLst/>
            </a:prstGeom>
          </xdr:spPr>
        </xdr:pic>
        <xdr:pic>
          <xdr:nvPicPr>
            <xdr:cNvPr id="51" name="Picture 5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21587" y="11427184"/>
              <a:ext cx="765865" cy="773825"/>
            </a:xfrm>
            <a:prstGeom prst="rect">
              <a:avLst/>
            </a:prstGeom>
          </xdr:spPr>
        </xdr:pic>
        <xdr:pic>
          <xdr:nvPicPr>
            <xdr:cNvPr id="52" name="Picture 5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68413" y="11427184"/>
              <a:ext cx="761548" cy="773825"/>
            </a:xfrm>
            <a:prstGeom prst="rect">
              <a:avLst/>
            </a:prstGeom>
          </xdr:spPr>
        </xdr:pic>
        <xdr:pic>
          <xdr:nvPicPr>
            <xdr:cNvPr id="53" name="Picture 52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847703" y="12412155"/>
              <a:ext cx="758921" cy="778141"/>
            </a:xfrm>
            <a:prstGeom prst="rect">
              <a:avLst/>
            </a:prstGeom>
          </xdr:spPr>
        </xdr:pic>
        <xdr:pic>
          <xdr:nvPicPr>
            <xdr:cNvPr id="54" name="Picture 53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25663" y="12412155"/>
              <a:ext cx="765865" cy="778141"/>
            </a:xfrm>
            <a:prstGeom prst="rect">
              <a:avLst/>
            </a:prstGeom>
          </xdr:spPr>
        </xdr:pic>
        <xdr:pic>
          <xdr:nvPicPr>
            <xdr:cNvPr id="55" name="Picture 5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72490" y="12412155"/>
              <a:ext cx="761548" cy="778141"/>
            </a:xfrm>
            <a:prstGeom prst="rect">
              <a:avLst/>
            </a:prstGeom>
          </xdr:spPr>
        </xdr:pic>
        <xdr:sp macro="" textlink="">
          <xdr:nvSpPr>
            <xdr:cNvPr id="56" name="Left Bracket 55"/>
            <xdr:cNvSpPr/>
          </xdr:nvSpPr>
          <xdr:spPr>
            <a:xfrm rot="16200000">
              <a:off x="2479169" y="12914064"/>
              <a:ext cx="92445" cy="710387"/>
            </a:xfrm>
            <a:prstGeom prst="leftBracket">
              <a:avLst>
                <a:gd name="adj" fmla="val 69358"/>
              </a:avLst>
            </a:prstGeom>
            <a:ln w="12700"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57" name="Left Bracket 56"/>
            <xdr:cNvSpPr/>
          </xdr:nvSpPr>
          <xdr:spPr>
            <a:xfrm rot="16200000">
              <a:off x="3258345" y="12910509"/>
              <a:ext cx="92445" cy="717331"/>
            </a:xfrm>
            <a:prstGeom prst="leftBracket">
              <a:avLst>
                <a:gd name="adj" fmla="val 69358"/>
              </a:avLst>
            </a:prstGeom>
            <a:ln w="12700"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58" name="Left Bracket 57"/>
            <xdr:cNvSpPr/>
          </xdr:nvSpPr>
          <xdr:spPr>
            <a:xfrm rot="16200000">
              <a:off x="2487900" y="11894196"/>
              <a:ext cx="96762" cy="710387"/>
            </a:xfrm>
            <a:prstGeom prst="leftBracket">
              <a:avLst>
                <a:gd name="adj" fmla="val 69358"/>
              </a:avLst>
            </a:prstGeom>
            <a:ln w="12700"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59" name="Left Bracket 58"/>
            <xdr:cNvSpPr/>
          </xdr:nvSpPr>
          <xdr:spPr>
            <a:xfrm rot="16200000">
              <a:off x="3250746" y="11890724"/>
              <a:ext cx="96762" cy="717331"/>
            </a:xfrm>
            <a:prstGeom prst="leftBracket">
              <a:avLst>
                <a:gd name="adj" fmla="val 69358"/>
              </a:avLst>
            </a:prstGeom>
            <a:ln w="12700"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60" name="Left Bracket 59"/>
            <xdr:cNvSpPr/>
          </xdr:nvSpPr>
          <xdr:spPr>
            <a:xfrm rot="10800000">
              <a:off x="3739535" y="12208646"/>
              <a:ext cx="586885" cy="1022261"/>
            </a:xfrm>
            <a:prstGeom prst="leftBracket">
              <a:avLst>
                <a:gd name="adj" fmla="val 24844"/>
              </a:avLst>
            </a:prstGeom>
            <a:ln w="12700"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61" name="Left Bracket 60"/>
            <xdr:cNvSpPr/>
          </xdr:nvSpPr>
          <xdr:spPr>
            <a:xfrm rot="10800000" flipH="1">
              <a:off x="1508588" y="12215244"/>
              <a:ext cx="581326" cy="1022261"/>
            </a:xfrm>
            <a:prstGeom prst="leftBracket">
              <a:avLst>
                <a:gd name="adj" fmla="val 24844"/>
              </a:avLst>
            </a:prstGeom>
            <a:ln w="12700"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grpSp>
          <xdr:nvGrpSpPr>
            <xdr:cNvPr id="62" name="Group 61"/>
            <xdr:cNvGrpSpPr/>
          </xdr:nvGrpSpPr>
          <xdr:grpSpPr>
            <a:xfrm>
              <a:off x="1250899" y="12673039"/>
              <a:ext cx="302903" cy="81490"/>
              <a:chOff x="1252436" y="12579396"/>
              <a:chExt cx="302903" cy="81490"/>
            </a:xfrm>
          </xdr:grpSpPr>
          <xdr:sp macro="" textlink="">
            <xdr:nvSpPr>
              <xdr:cNvPr id="66" name="Flowchart: Connector 65"/>
              <xdr:cNvSpPr/>
            </xdr:nvSpPr>
            <xdr:spPr>
              <a:xfrm>
                <a:off x="1468131" y="12579396"/>
                <a:ext cx="87208" cy="81490"/>
              </a:xfrm>
              <a:prstGeom prst="flowChartConnector">
                <a:avLst/>
              </a:prstGeom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dk1">
                  <a:shade val="50000"/>
                </a:schemeClr>
              </a:lnRef>
              <a:fillRef idx="1">
                <a:schemeClr val="dk1"/>
              </a:fillRef>
              <a:effectRef idx="0">
                <a:schemeClr val="dk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h-TH" sz="1000"/>
              </a:p>
            </xdr:txBody>
          </xdr:sp>
          <xdr:cxnSp macro="">
            <xdr:nvCxnSpPr>
              <xdr:cNvPr id="67" name="Straight Connector 66"/>
              <xdr:cNvCxnSpPr/>
            </xdr:nvCxnSpPr>
            <xdr:spPr>
              <a:xfrm flipH="1">
                <a:off x="1252436" y="12620572"/>
                <a:ext cx="257689" cy="1067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63" name="Group 62"/>
            <xdr:cNvGrpSpPr/>
          </xdr:nvGrpSpPr>
          <xdr:grpSpPr>
            <a:xfrm flipH="1">
              <a:off x="4280590" y="12662591"/>
              <a:ext cx="302903" cy="81490"/>
              <a:chOff x="1252436" y="12579396"/>
              <a:chExt cx="302903" cy="81490"/>
            </a:xfrm>
          </xdr:grpSpPr>
          <xdr:sp macro="" textlink="">
            <xdr:nvSpPr>
              <xdr:cNvPr id="64" name="Flowchart: Connector 63"/>
              <xdr:cNvSpPr/>
            </xdr:nvSpPr>
            <xdr:spPr>
              <a:xfrm>
                <a:off x="1468131" y="12579396"/>
                <a:ext cx="87208" cy="81490"/>
              </a:xfrm>
              <a:prstGeom prst="flowChartConnector">
                <a:avLst/>
              </a:prstGeom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dk1">
                  <a:shade val="50000"/>
                </a:schemeClr>
              </a:lnRef>
              <a:fillRef idx="1">
                <a:schemeClr val="dk1"/>
              </a:fillRef>
              <a:effectRef idx="0">
                <a:schemeClr val="dk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h-TH" sz="1000"/>
              </a:p>
            </xdr:txBody>
          </xdr:sp>
          <xdr:cxnSp macro="">
            <xdr:nvCxnSpPr>
              <xdr:cNvPr id="65" name="Straight Connector 64"/>
              <xdr:cNvCxnSpPr/>
            </xdr:nvCxnSpPr>
            <xdr:spPr>
              <a:xfrm flipH="1">
                <a:off x="1252436" y="12620572"/>
                <a:ext cx="257689" cy="1067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46" name="Group 45"/>
          <xdr:cNvGrpSpPr/>
        </xdr:nvGrpSpPr>
        <xdr:grpSpPr>
          <a:xfrm>
            <a:off x="1602828" y="11384017"/>
            <a:ext cx="4867603" cy="617483"/>
            <a:chOff x="1602828" y="11384017"/>
            <a:chExt cx="4867603" cy="617483"/>
          </a:xfrm>
        </xdr:grpSpPr>
        <xdr:sp macro="" textlink="">
          <xdr:nvSpPr>
            <xdr:cNvPr id="47" name="Rounded Rectangle 46"/>
            <xdr:cNvSpPr/>
          </xdr:nvSpPr>
          <xdr:spPr>
            <a:xfrm>
              <a:off x="1602828" y="11384017"/>
              <a:ext cx="2719551" cy="617483"/>
            </a:xfrm>
            <a:prstGeom prst="roundRect">
              <a:avLst/>
            </a:prstGeom>
            <a:noFill/>
            <a:ln w="28575">
              <a:solidFill>
                <a:srgbClr val="FF0000"/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48" name="Right Arrow 47"/>
            <xdr:cNvSpPr/>
          </xdr:nvSpPr>
          <xdr:spPr>
            <a:xfrm>
              <a:off x="4394638" y="11620500"/>
              <a:ext cx="275896" cy="170793"/>
            </a:xfrm>
            <a:prstGeom prst="rightArrow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000"/>
            </a:p>
          </xdr:txBody>
        </xdr:sp>
        <xdr:sp macro="" textlink="">
          <xdr:nvSpPr>
            <xdr:cNvPr id="49" name="TextBox 48"/>
            <xdr:cNvSpPr txBox="1"/>
          </xdr:nvSpPr>
          <xdr:spPr>
            <a:xfrm>
              <a:off x="4703378" y="11456925"/>
              <a:ext cx="1767053" cy="505976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h-TH" sz="1000"/>
                <a:t>จำนวนแผงที่ต่อแบบอนุกรม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showGridLines="0" tabSelected="1" zoomScaleNormal="100" workbookViewId="0">
      <pane ySplit="4" topLeftCell="A5" activePane="bottomLeft" state="frozen"/>
      <selection pane="bottomLeft" activeCell="K15" sqref="K15"/>
    </sheetView>
  </sheetViews>
  <sheetFormatPr defaultRowHeight="14.25" x14ac:dyDescent="0.2"/>
  <cols>
    <col min="1" max="1" width="5" style="98" customWidth="1"/>
    <col min="2" max="2" width="34" style="98" customWidth="1"/>
    <col min="3" max="13" width="7.625" style="98" customWidth="1"/>
    <col min="14" max="16384" width="9" style="98"/>
  </cols>
  <sheetData>
    <row r="1" spans="1:16" s="97" customFormat="1" ht="18" x14ac:dyDescent="0.25">
      <c r="A1" s="96" t="s">
        <v>3</v>
      </c>
      <c r="J1" s="98"/>
    </row>
    <row r="2" spans="1:16" x14ac:dyDescent="0.2">
      <c r="A2" s="98" t="s">
        <v>2</v>
      </c>
    </row>
    <row r="3" spans="1:16" x14ac:dyDescent="0.2">
      <c r="A3" s="99" t="s">
        <v>110</v>
      </c>
    </row>
    <row r="5" spans="1:16" x14ac:dyDescent="0.2">
      <c r="A5" s="100" t="s">
        <v>1</v>
      </c>
    </row>
    <row r="6" spans="1:16" x14ac:dyDescent="0.2">
      <c r="A6" s="98" t="s">
        <v>4</v>
      </c>
    </row>
    <row r="8" spans="1:16" s="100" customFormat="1" ht="15" thickBot="1" x14ac:dyDescent="0.25">
      <c r="A8" s="101" t="s">
        <v>22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5" thickBot="1" x14ac:dyDescent="0.25">
      <c r="B9" s="103" t="s">
        <v>20</v>
      </c>
      <c r="C9" s="165">
        <v>50</v>
      </c>
      <c r="D9" s="166"/>
      <c r="E9" s="167"/>
      <c r="F9" s="98" t="s">
        <v>6</v>
      </c>
      <c r="H9" s="104"/>
    </row>
    <row r="10" spans="1:16" x14ac:dyDescent="0.2">
      <c r="B10" s="105" t="s">
        <v>5</v>
      </c>
      <c r="C10" s="168">
        <f>$C$9*0.06</f>
        <v>3</v>
      </c>
      <c r="D10" s="168"/>
      <c r="E10" s="168"/>
      <c r="F10" s="98" t="s">
        <v>53</v>
      </c>
    </row>
    <row r="11" spans="1:16" x14ac:dyDescent="0.2">
      <c r="C11" s="159">
        <f>C10*4.402881245487</f>
        <v>13.208643736461001</v>
      </c>
      <c r="D11" s="159"/>
      <c r="E11" s="159"/>
      <c r="F11" s="98" t="s">
        <v>7</v>
      </c>
    </row>
    <row r="12" spans="1:16" ht="15" thickBot="1" x14ac:dyDescent="0.25"/>
    <row r="13" spans="1:16" ht="15" thickBot="1" x14ac:dyDescent="0.25">
      <c r="B13" s="103" t="s">
        <v>174</v>
      </c>
      <c r="C13" s="165">
        <v>1</v>
      </c>
      <c r="D13" s="166"/>
      <c r="E13" s="167"/>
      <c r="F13" s="98" t="s">
        <v>8</v>
      </c>
    </row>
    <row r="14" spans="1:16" x14ac:dyDescent="0.2">
      <c r="B14" s="103"/>
      <c r="C14" s="168">
        <f>$C$13*0.0254</f>
        <v>2.5399999999999999E-2</v>
      </c>
      <c r="D14" s="168"/>
      <c r="E14" s="168"/>
      <c r="F14" s="98" t="s">
        <v>10</v>
      </c>
    </row>
    <row r="15" spans="1:16" ht="15" thickBot="1" x14ac:dyDescent="0.25">
      <c r="B15" s="103"/>
      <c r="C15" s="104"/>
    </row>
    <row r="16" spans="1:16" ht="15" thickBot="1" x14ac:dyDescent="0.25">
      <c r="B16" s="103" t="s">
        <v>24</v>
      </c>
      <c r="C16" s="169">
        <v>20</v>
      </c>
      <c r="D16" s="170"/>
      <c r="E16" s="171"/>
      <c r="F16" s="98" t="s">
        <v>10</v>
      </c>
    </row>
    <row r="17" spans="1:16" x14ac:dyDescent="0.2">
      <c r="B17" s="103"/>
      <c r="C17" s="158">
        <f>$C$16*3.2808</f>
        <v>65.616</v>
      </c>
      <c r="D17" s="158"/>
      <c r="E17" s="158"/>
      <c r="F17" s="98" t="s">
        <v>54</v>
      </c>
    </row>
    <row r="18" spans="1:16" ht="15" thickBot="1" x14ac:dyDescent="0.25">
      <c r="B18" s="103"/>
      <c r="C18" s="104"/>
    </row>
    <row r="19" spans="1:16" ht="15" thickBot="1" x14ac:dyDescent="0.25">
      <c r="B19" s="103" t="s">
        <v>21</v>
      </c>
      <c r="C19" s="173" t="s">
        <v>64</v>
      </c>
      <c r="D19" s="174"/>
      <c r="E19" s="175"/>
    </row>
    <row r="20" spans="1:16" x14ac:dyDescent="0.2">
      <c r="B20" s="106" t="s">
        <v>19</v>
      </c>
      <c r="C20" s="172">
        <f>VLOOKUP(Pump!C19,database!A7:B11,2,FALSE)</f>
        <v>100</v>
      </c>
      <c r="D20" s="172"/>
      <c r="E20" s="172"/>
    </row>
    <row r="21" spans="1:16" ht="15" thickBot="1" x14ac:dyDescent="0.25">
      <c r="B21" s="103"/>
      <c r="C21" s="104"/>
    </row>
    <row r="22" spans="1:16" ht="15" thickBot="1" x14ac:dyDescent="0.25">
      <c r="B22" s="103" t="s">
        <v>66</v>
      </c>
      <c r="C22" s="165">
        <v>10</v>
      </c>
      <c r="D22" s="166"/>
      <c r="E22" s="167"/>
      <c r="F22" s="98" t="s">
        <v>72</v>
      </c>
    </row>
    <row r="23" spans="1:16" x14ac:dyDescent="0.2">
      <c r="B23" s="103"/>
      <c r="C23" s="104"/>
    </row>
    <row r="24" spans="1:16" s="100" customFormat="1" x14ac:dyDescent="0.2">
      <c r="A24" s="107" t="s">
        <v>23</v>
      </c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x14ac:dyDescent="0.2">
      <c r="A25" s="98" t="s">
        <v>26</v>
      </c>
      <c r="B25" s="103"/>
      <c r="C25" s="104"/>
    </row>
    <row r="26" spans="1:16" ht="15" thickBot="1" x14ac:dyDescent="0.25">
      <c r="B26" s="103"/>
      <c r="C26" s="104"/>
    </row>
    <row r="27" spans="1:16" x14ac:dyDescent="0.2">
      <c r="B27" s="161" t="s">
        <v>31</v>
      </c>
      <c r="C27" s="163" t="s">
        <v>32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4"/>
      <c r="N27" s="153" t="s">
        <v>55</v>
      </c>
    </row>
    <row r="28" spans="1:16" ht="15" thickBot="1" x14ac:dyDescent="0.25">
      <c r="B28" s="162"/>
      <c r="C28" s="111" t="s">
        <v>33</v>
      </c>
      <c r="D28" s="111" t="s">
        <v>34</v>
      </c>
      <c r="E28" s="111" t="s">
        <v>35</v>
      </c>
      <c r="F28" s="111" t="s">
        <v>36</v>
      </c>
      <c r="G28" s="111" t="s">
        <v>37</v>
      </c>
      <c r="H28" s="111" t="s">
        <v>38</v>
      </c>
      <c r="I28" s="111" t="s">
        <v>39</v>
      </c>
      <c r="J28" s="111" t="s">
        <v>40</v>
      </c>
      <c r="K28" s="111" t="s">
        <v>41</v>
      </c>
      <c r="L28" s="111" t="s">
        <v>42</v>
      </c>
      <c r="M28" s="112" t="s">
        <v>43</v>
      </c>
      <c r="N28" s="154"/>
    </row>
    <row r="29" spans="1:16" x14ac:dyDescent="0.2">
      <c r="B29" s="113" t="s">
        <v>45</v>
      </c>
      <c r="C29" s="138"/>
      <c r="D29" s="138"/>
      <c r="E29" s="138">
        <v>2</v>
      </c>
      <c r="F29" s="138"/>
      <c r="G29" s="138"/>
      <c r="H29" s="138"/>
      <c r="I29" s="138"/>
      <c r="J29" s="138"/>
      <c r="K29" s="138"/>
      <c r="L29" s="138"/>
      <c r="M29" s="139"/>
      <c r="N29" s="114">
        <f>SUMPRODUCT(C29:M29,database!B19:L19)</f>
        <v>2.8</v>
      </c>
    </row>
    <row r="30" spans="1:16" x14ac:dyDescent="0.2">
      <c r="B30" s="115" t="s">
        <v>44</v>
      </c>
      <c r="C30" s="140"/>
      <c r="D30" s="140"/>
      <c r="E30" s="140">
        <v>1</v>
      </c>
      <c r="F30" s="140"/>
      <c r="G30" s="140"/>
      <c r="H30" s="140"/>
      <c r="I30" s="140"/>
      <c r="J30" s="140"/>
      <c r="K30" s="140"/>
      <c r="L30" s="140"/>
      <c r="M30" s="141"/>
      <c r="N30" s="116">
        <f>SUMPRODUCT(C30:M30,database!B20:L20)</f>
        <v>2.6</v>
      </c>
    </row>
    <row r="31" spans="1:16" x14ac:dyDescent="0.2">
      <c r="B31" s="115" t="s">
        <v>46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16">
        <f>SUMPRODUCT(C31:M31,database!B21:L21)</f>
        <v>0</v>
      </c>
    </row>
    <row r="32" spans="1:16" x14ac:dyDescent="0.2">
      <c r="B32" s="115" t="s">
        <v>47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1"/>
      <c r="N32" s="116">
        <f>SUMPRODUCT(C32:M32,database!B22:L22)</f>
        <v>0</v>
      </c>
    </row>
    <row r="33" spans="1:16" x14ac:dyDescent="0.2">
      <c r="B33" s="115" t="s">
        <v>48</v>
      </c>
      <c r="C33" s="140"/>
      <c r="D33" s="140"/>
      <c r="E33" s="140">
        <v>1</v>
      </c>
      <c r="F33" s="140"/>
      <c r="G33" s="140"/>
      <c r="H33" s="140"/>
      <c r="I33" s="140"/>
      <c r="J33" s="140"/>
      <c r="K33" s="140"/>
      <c r="L33" s="140"/>
      <c r="M33" s="141"/>
      <c r="N33" s="116">
        <f>SUMPRODUCT(C33:M33,database!B23:L23)</f>
        <v>0.7</v>
      </c>
    </row>
    <row r="34" spans="1:16" x14ac:dyDescent="0.2">
      <c r="B34" s="115" t="s">
        <v>49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16">
        <f>SUMPRODUCT(C34:M34,database!B24:L24)</f>
        <v>0</v>
      </c>
    </row>
    <row r="35" spans="1:16" x14ac:dyDescent="0.2">
      <c r="B35" s="115" t="s">
        <v>52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16">
        <f>SUMPRODUCT(C35:M35,database!B25:L25)</f>
        <v>0</v>
      </c>
    </row>
    <row r="36" spans="1:16" x14ac:dyDescent="0.2">
      <c r="B36" s="115" t="s">
        <v>50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16">
        <f>SUMPRODUCT(C36:M36,database!B26:L26)</f>
        <v>0</v>
      </c>
    </row>
    <row r="37" spans="1:16" ht="15" thickBot="1" x14ac:dyDescent="0.25">
      <c r="B37" s="117" t="s">
        <v>51</v>
      </c>
      <c r="C37" s="142"/>
      <c r="D37" s="142"/>
      <c r="E37" s="142">
        <v>1</v>
      </c>
      <c r="F37" s="142"/>
      <c r="G37" s="142"/>
      <c r="H37" s="142"/>
      <c r="I37" s="142"/>
      <c r="J37" s="142"/>
      <c r="K37" s="142"/>
      <c r="L37" s="142"/>
      <c r="M37" s="143"/>
      <c r="N37" s="118">
        <f>SUMPRODUCT(C37:M37,database!B27:L27)</f>
        <v>8.6999999999999993</v>
      </c>
    </row>
    <row r="38" spans="1:16" ht="15" thickBot="1" x14ac:dyDescent="0.25">
      <c r="B38" s="104" t="s">
        <v>56</v>
      </c>
      <c r="C38" s="155">
        <f>SUM($N$29:$N$37)</f>
        <v>14.8</v>
      </c>
      <c r="D38" s="156"/>
      <c r="E38" s="157"/>
      <c r="F38" s="119" t="s">
        <v>54</v>
      </c>
      <c r="G38" s="120"/>
      <c r="H38" s="120"/>
      <c r="I38" s="120"/>
      <c r="J38" s="120"/>
      <c r="K38" s="120"/>
      <c r="L38" s="120"/>
      <c r="M38" s="120"/>
    </row>
    <row r="39" spans="1:16" x14ac:dyDescent="0.2">
      <c r="B39" s="103"/>
      <c r="C39" s="104"/>
    </row>
    <row r="40" spans="1:16" s="100" customFormat="1" x14ac:dyDescent="0.2">
      <c r="A40" s="121" t="s">
        <v>67</v>
      </c>
      <c r="B40" s="122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</row>
    <row r="41" spans="1:16" x14ac:dyDescent="0.2">
      <c r="B41" s="103" t="s">
        <v>11</v>
      </c>
      <c r="C41" s="159">
        <f>IFERROR((C10)/(900*3.14*(C14^2)),"")</f>
        <v>1.6454385350384289</v>
      </c>
      <c r="D41" s="159"/>
      <c r="E41" s="159"/>
      <c r="F41" s="98" t="s">
        <v>123</v>
      </c>
      <c r="G41" s="125"/>
    </row>
    <row r="42" spans="1:16" x14ac:dyDescent="0.2">
      <c r="B42" s="103" t="s">
        <v>60</v>
      </c>
      <c r="C42" s="159">
        <f>IFERROR((0.2083*((100/C20)^1.852)*(C11^1.852))/(C13^4.8655),"")</f>
        <v>24.803827680385979</v>
      </c>
      <c r="D42" s="159"/>
      <c r="E42" s="159"/>
      <c r="F42" s="98" t="s">
        <v>61</v>
      </c>
      <c r="G42" s="125"/>
    </row>
    <row r="43" spans="1:16" x14ac:dyDescent="0.2">
      <c r="B43" s="103" t="s">
        <v>59</v>
      </c>
      <c r="C43" s="160"/>
      <c r="D43" s="160"/>
      <c r="E43" s="160"/>
    </row>
    <row r="44" spans="1:16" x14ac:dyDescent="0.2">
      <c r="B44" s="126" t="s">
        <v>57</v>
      </c>
      <c r="C44" s="159">
        <f>IFERROR(($C$17/100)*$C$42,"")</f>
        <v>16.275279570762063</v>
      </c>
      <c r="D44" s="159"/>
      <c r="E44" s="159"/>
      <c r="F44" s="98" t="s">
        <v>62</v>
      </c>
    </row>
    <row r="45" spans="1:16" x14ac:dyDescent="0.2">
      <c r="B45" s="126" t="s">
        <v>58</v>
      </c>
      <c r="C45" s="159">
        <f>IFERROR(($C$38/100)*$C$42,"")</f>
        <v>3.6709664966971252</v>
      </c>
      <c r="D45" s="159"/>
      <c r="E45" s="159"/>
      <c r="F45" s="98" t="s">
        <v>62</v>
      </c>
    </row>
    <row r="46" spans="1:16" x14ac:dyDescent="0.2">
      <c r="B46" s="126" t="s">
        <v>63</v>
      </c>
      <c r="C46" s="176">
        <f>IFERROR(($C$44+$C$45),"")</f>
        <v>19.946246067459189</v>
      </c>
      <c r="D46" s="177"/>
      <c r="E46" s="177"/>
      <c r="F46" s="98" t="s">
        <v>62</v>
      </c>
    </row>
    <row r="47" spans="1:16" x14ac:dyDescent="0.2">
      <c r="C47" s="176">
        <f>IFERROR(($C$46*0.3043),"")</f>
        <v>6.0696426783278312</v>
      </c>
      <c r="D47" s="177"/>
      <c r="E47" s="177"/>
      <c r="F47" s="98" t="s">
        <v>65</v>
      </c>
    </row>
    <row r="49" spans="1:14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</row>
    <row r="50" spans="1:14" s="100" customFormat="1" ht="15" thickBot="1" x14ac:dyDescent="0.25">
      <c r="A50" s="128" t="s">
        <v>74</v>
      </c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4" ht="15" thickBot="1" x14ac:dyDescent="0.25">
      <c r="A51" s="127"/>
      <c r="B51" s="130" t="s">
        <v>75</v>
      </c>
      <c r="C51" s="178">
        <v>30</v>
      </c>
      <c r="D51" s="179"/>
      <c r="E51" s="180"/>
      <c r="F51" s="127"/>
      <c r="G51" s="127"/>
      <c r="H51" s="127"/>
      <c r="I51" s="127"/>
      <c r="J51" s="127"/>
    </row>
    <row r="52" spans="1:14" ht="15" thickBot="1" x14ac:dyDescent="0.25">
      <c r="A52" s="127"/>
      <c r="B52" s="130" t="s">
        <v>76</v>
      </c>
      <c r="C52" s="178">
        <v>70</v>
      </c>
      <c r="D52" s="179"/>
      <c r="E52" s="180"/>
      <c r="F52" s="127"/>
      <c r="G52" s="127"/>
      <c r="H52" s="127"/>
      <c r="I52" s="127"/>
      <c r="J52" s="127"/>
    </row>
    <row r="53" spans="1:14" x14ac:dyDescent="0.2">
      <c r="A53" s="127"/>
      <c r="B53" s="127" t="s">
        <v>69</v>
      </c>
      <c r="C53" s="127"/>
      <c r="D53" s="127"/>
      <c r="E53" s="127"/>
      <c r="F53" s="127"/>
      <c r="G53" s="127"/>
      <c r="H53" s="127"/>
      <c r="I53" s="127"/>
      <c r="J53" s="127"/>
    </row>
    <row r="54" spans="1:14" x14ac:dyDescent="0.2">
      <c r="A54" s="127"/>
      <c r="B54" s="131" t="s">
        <v>70</v>
      </c>
      <c r="C54" s="176">
        <f>$C$9</f>
        <v>50</v>
      </c>
      <c r="D54" s="177"/>
      <c r="E54" s="177"/>
      <c r="F54" s="127" t="s">
        <v>68</v>
      </c>
      <c r="G54" s="127"/>
      <c r="H54" s="127"/>
      <c r="I54" s="127"/>
      <c r="J54" s="127"/>
    </row>
    <row r="55" spans="1:14" x14ac:dyDescent="0.2">
      <c r="A55" s="127"/>
      <c r="B55" s="131" t="s">
        <v>71</v>
      </c>
      <c r="C55" s="176">
        <f>$C$13</f>
        <v>1</v>
      </c>
      <c r="D55" s="177"/>
      <c r="E55" s="177"/>
      <c r="F55" s="127" t="s">
        <v>8</v>
      </c>
      <c r="G55" s="127"/>
      <c r="H55" s="127"/>
      <c r="I55" s="127"/>
      <c r="J55" s="127"/>
      <c r="M55" s="132"/>
    </row>
    <row r="56" spans="1:14" x14ac:dyDescent="0.2">
      <c r="A56" s="127"/>
      <c r="B56" s="131" t="s">
        <v>73</v>
      </c>
      <c r="C56" s="176">
        <f>IFERROR(($C$47+$C$22*(($C$51+100)/100)),"")</f>
        <v>19.069642678327831</v>
      </c>
      <c r="D56" s="177"/>
      <c r="E56" s="177"/>
      <c r="F56" s="127" t="s">
        <v>10</v>
      </c>
      <c r="G56" s="127"/>
      <c r="H56" s="127"/>
      <c r="I56" s="127"/>
      <c r="J56" s="127"/>
    </row>
    <row r="57" spans="1:14" x14ac:dyDescent="0.2">
      <c r="A57" s="127"/>
      <c r="B57" s="131" t="s">
        <v>78</v>
      </c>
      <c r="C57" s="176">
        <f>IFERROR((($C$9/60)*$C$56)/(102*($C$52/100)),"")</f>
        <v>0.22256819185723428</v>
      </c>
      <c r="D57" s="176"/>
      <c r="E57" s="176"/>
      <c r="F57" s="127" t="s">
        <v>77</v>
      </c>
      <c r="G57" s="127" t="s">
        <v>5</v>
      </c>
      <c r="H57" s="133">
        <f>$C$57*1.3405</f>
        <v>0.29835266118462256</v>
      </c>
      <c r="I57" s="127" t="s">
        <v>79</v>
      </c>
      <c r="J57" s="127"/>
    </row>
    <row r="58" spans="1:14" x14ac:dyDescent="0.2">
      <c r="A58" s="127"/>
      <c r="B58" s="131"/>
      <c r="C58" s="134"/>
      <c r="D58" s="134"/>
      <c r="E58" s="134"/>
      <c r="F58" s="127"/>
      <c r="G58" s="127"/>
      <c r="H58" s="135"/>
      <c r="I58" s="127"/>
      <c r="J58" s="127"/>
    </row>
    <row r="59" spans="1:14" x14ac:dyDescent="0.2">
      <c r="N59" s="132"/>
    </row>
    <row r="60" spans="1:14" x14ac:dyDescent="0.2">
      <c r="A60" s="98" t="s">
        <v>104</v>
      </c>
    </row>
    <row r="61" spans="1:14" x14ac:dyDescent="0.2">
      <c r="A61" s="98" t="s">
        <v>27</v>
      </c>
    </row>
    <row r="62" spans="1:14" x14ac:dyDescent="0.2">
      <c r="A62" s="98" t="s">
        <v>28</v>
      </c>
    </row>
    <row r="69" spans="2:7" x14ac:dyDescent="0.2">
      <c r="B69" s="136"/>
      <c r="C69" s="136"/>
      <c r="D69" s="136"/>
      <c r="E69" s="136"/>
      <c r="F69" s="136"/>
      <c r="G69" s="136"/>
    </row>
    <row r="70" spans="2:7" x14ac:dyDescent="0.2">
      <c r="B70" s="136"/>
      <c r="C70" s="136"/>
      <c r="D70" s="136"/>
      <c r="E70" s="136"/>
      <c r="F70" s="136"/>
      <c r="G70" s="136"/>
    </row>
    <row r="71" spans="2:7" x14ac:dyDescent="0.2">
      <c r="B71" s="136"/>
      <c r="C71" s="136"/>
      <c r="D71" s="136"/>
      <c r="E71" s="136"/>
      <c r="F71" s="136"/>
      <c r="G71" s="136"/>
    </row>
    <row r="73" spans="2:7" x14ac:dyDescent="0.2">
      <c r="B73" s="137"/>
    </row>
    <row r="74" spans="2:7" x14ac:dyDescent="0.2">
      <c r="B74" s="137"/>
    </row>
    <row r="75" spans="2:7" x14ac:dyDescent="0.2">
      <c r="B75" s="137"/>
    </row>
    <row r="77" spans="2:7" x14ac:dyDescent="0.2">
      <c r="B77" s="137"/>
    </row>
  </sheetData>
  <sheetProtection algorithmName="SHA-512" hashValue="gt9mrndJts4UdG2wGG1k6RZRvd9UFOhybdcloxXjcHO+k95jeQVmikpR8FO2MzA/48bzgHQLB/oPe9IOIQvRSA==" saltValue="xsgJSQ965QzFewtk0OqBpQ==" spinCount="100000" sheet="1" objects="1" scenarios="1"/>
  <dataConsolidate/>
  <mergeCells count="27">
    <mergeCell ref="C56:E56"/>
    <mergeCell ref="C52:E52"/>
    <mergeCell ref="C57:E57"/>
    <mergeCell ref="C47:E47"/>
    <mergeCell ref="C22:E22"/>
    <mergeCell ref="C51:E51"/>
    <mergeCell ref="C54:E54"/>
    <mergeCell ref="C55:E55"/>
    <mergeCell ref="C46:E46"/>
    <mergeCell ref="C41:E41"/>
    <mergeCell ref="B27:B28"/>
    <mergeCell ref="C27:M27"/>
    <mergeCell ref="C9:E9"/>
    <mergeCell ref="C11:E11"/>
    <mergeCell ref="C10:E10"/>
    <mergeCell ref="C14:E14"/>
    <mergeCell ref="C13:E13"/>
    <mergeCell ref="C16:E16"/>
    <mergeCell ref="C20:E20"/>
    <mergeCell ref="C19:E19"/>
    <mergeCell ref="N27:N28"/>
    <mergeCell ref="C38:E38"/>
    <mergeCell ref="C17:E17"/>
    <mergeCell ref="C42:E42"/>
    <mergeCell ref="C45:E45"/>
    <mergeCell ref="C44:E44"/>
    <mergeCell ref="C43:E43"/>
  </mergeCells>
  <pageMargins left="0.7" right="0.7" top="0.75" bottom="0.75" header="0.3" footer="0.3"/>
  <pageSetup paperSize="9" scale="54" fitToHeight="0" orientation="portrait" r:id="rId1"/>
  <ignoredErrors>
    <ignoredError sqref="N29:N3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กรุณาเลือกชนิดของท่อที่ใช้">
          <x14:formula1>
            <xm:f>database!$A$7:$A$11</xm:f>
          </x14:formula1>
          <xm:sqref>C19:E19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zoomScaleNormal="100" workbookViewId="0">
      <pane ySplit="4" topLeftCell="A5" activePane="bottomLeft" state="frozen"/>
      <selection pane="bottomLeft" activeCell="J8" sqref="J8"/>
    </sheetView>
  </sheetViews>
  <sheetFormatPr defaultRowHeight="14.25" x14ac:dyDescent="0.2"/>
  <cols>
    <col min="1" max="1" width="6.125" customWidth="1"/>
    <col min="4" max="4" width="12" customWidth="1"/>
    <col min="5" max="5" width="11.875" customWidth="1"/>
    <col min="6" max="6" width="11.625" customWidth="1"/>
    <col min="8" max="8" width="11.375" customWidth="1"/>
    <col min="9" max="9" width="12.75" customWidth="1"/>
    <col min="10" max="10" width="10" customWidth="1"/>
  </cols>
  <sheetData>
    <row r="1" spans="1:10" s="13" customFormat="1" ht="18" x14ac:dyDescent="0.25">
      <c r="A1" s="12" t="s">
        <v>3</v>
      </c>
      <c r="J1"/>
    </row>
    <row r="2" spans="1:10" s="1" customFormat="1" x14ac:dyDescent="0.2">
      <c r="A2" s="1" t="s">
        <v>2</v>
      </c>
    </row>
    <row r="3" spans="1:10" s="1" customFormat="1" x14ac:dyDescent="0.2">
      <c r="A3" s="34" t="s">
        <v>111</v>
      </c>
    </row>
    <row r="5" spans="1:10" s="6" customFormat="1" x14ac:dyDescent="0.2">
      <c r="A5" s="6" t="s">
        <v>81</v>
      </c>
    </row>
    <row r="6" spans="1:10" x14ac:dyDescent="0.2">
      <c r="A6" s="1" t="s">
        <v>4</v>
      </c>
    </row>
    <row r="7" spans="1:10" x14ac:dyDescent="0.2">
      <c r="A7" s="1"/>
    </row>
    <row r="8" spans="1:10" x14ac:dyDescent="0.2">
      <c r="A8" s="22" t="s">
        <v>101</v>
      </c>
    </row>
    <row r="9" spans="1:10" ht="15" thickBot="1" x14ac:dyDescent="0.25">
      <c r="A9" s="1" t="s">
        <v>92</v>
      </c>
    </row>
    <row r="10" spans="1:10" ht="15" thickBot="1" x14ac:dyDescent="0.25">
      <c r="A10" s="16" t="s">
        <v>94</v>
      </c>
      <c r="E10" s="144"/>
      <c r="F10" t="s">
        <v>93</v>
      </c>
    </row>
    <row r="11" spans="1:10" ht="15" thickBot="1" x14ac:dyDescent="0.25">
      <c r="A11" s="16" t="s">
        <v>95</v>
      </c>
      <c r="E11" s="144"/>
      <c r="F11" t="s">
        <v>10</v>
      </c>
    </row>
    <row r="12" spans="1:10" x14ac:dyDescent="0.2">
      <c r="A12" s="1"/>
      <c r="D12" s="18" t="s">
        <v>96</v>
      </c>
      <c r="E12" s="28">
        <f>$E$10*$E$11</f>
        <v>0</v>
      </c>
      <c r="F12" t="s">
        <v>100</v>
      </c>
      <c r="G12" s="14" t="s">
        <v>108</v>
      </c>
    </row>
    <row r="13" spans="1:10" x14ac:dyDescent="0.2">
      <c r="A13" s="32" t="s">
        <v>9</v>
      </c>
      <c r="D13" s="18"/>
      <c r="E13" s="26"/>
    </row>
    <row r="14" spans="1:10" s="19" customFormat="1" x14ac:dyDescent="0.2">
      <c r="A14" s="31" t="s">
        <v>97</v>
      </c>
      <c r="D14" s="20"/>
      <c r="E14" s="21"/>
    </row>
    <row r="15" spans="1:10" s="19" customFormat="1" x14ac:dyDescent="0.2">
      <c r="A15" s="31" t="s">
        <v>98</v>
      </c>
      <c r="D15" s="20"/>
      <c r="E15" s="21"/>
    </row>
    <row r="16" spans="1:10" s="19" customFormat="1" x14ac:dyDescent="0.2">
      <c r="A16" s="31" t="s">
        <v>99</v>
      </c>
      <c r="D16" s="20"/>
      <c r="E16" s="21"/>
    </row>
    <row r="18" spans="1:16" x14ac:dyDescent="0.2">
      <c r="A18" s="23" t="s">
        <v>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7" customFormat="1" ht="15" thickBo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s="7" customFormat="1" ht="15" thickBot="1" x14ac:dyDescent="0.25">
      <c r="A20" s="33"/>
      <c r="B20" s="38" t="s">
        <v>127</v>
      </c>
      <c r="C20" s="33"/>
      <c r="D20" s="33"/>
      <c r="E20" s="188" t="s">
        <v>175</v>
      </c>
      <c r="F20" s="189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5" thickBot="1" x14ac:dyDescent="0.25">
      <c r="B21" t="s">
        <v>124</v>
      </c>
      <c r="F21" s="145">
        <v>300</v>
      </c>
      <c r="G21" t="s">
        <v>83</v>
      </c>
    </row>
    <row r="22" spans="1:16" ht="15" thickBot="1" x14ac:dyDescent="0.25">
      <c r="B22" t="s">
        <v>125</v>
      </c>
      <c r="F22" s="146">
        <v>24</v>
      </c>
      <c r="G22" t="s">
        <v>170</v>
      </c>
    </row>
    <row r="23" spans="1:16" ht="15" thickBot="1" x14ac:dyDescent="0.25">
      <c r="B23" t="s">
        <v>126</v>
      </c>
      <c r="F23" s="152">
        <v>12.5</v>
      </c>
      <c r="G23" t="s">
        <v>173</v>
      </c>
    </row>
    <row r="25" spans="1:16" x14ac:dyDescent="0.2">
      <c r="A25" s="24" t="s">
        <v>89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7" spans="1:16" ht="15" thickBot="1" x14ac:dyDescent="0.25">
      <c r="B27" s="181" t="s">
        <v>137</v>
      </c>
      <c r="C27" s="181" t="s">
        <v>138</v>
      </c>
      <c r="D27" s="181" t="s">
        <v>0</v>
      </c>
      <c r="E27" s="181" t="s">
        <v>139</v>
      </c>
      <c r="F27" s="181" t="s">
        <v>140</v>
      </c>
      <c r="G27" s="182" t="s">
        <v>142</v>
      </c>
      <c r="H27" s="182"/>
    </row>
    <row r="28" spans="1:16" ht="15" thickBot="1" x14ac:dyDescent="0.25">
      <c r="B28" s="181"/>
      <c r="C28" s="181"/>
      <c r="D28" s="181"/>
      <c r="E28" s="181"/>
      <c r="F28" s="181"/>
      <c r="G28" s="51" t="s">
        <v>143</v>
      </c>
      <c r="H28" s="51" t="s">
        <v>144</v>
      </c>
      <c r="J28" t="s">
        <v>102</v>
      </c>
      <c r="M28" s="147">
        <v>8</v>
      </c>
      <c r="N28" t="s">
        <v>103</v>
      </c>
    </row>
    <row r="29" spans="1:16" x14ac:dyDescent="0.2">
      <c r="B29" s="51">
        <v>1</v>
      </c>
      <c r="C29" s="51" t="s">
        <v>141</v>
      </c>
      <c r="D29" s="52">
        <v>50</v>
      </c>
      <c r="E29" s="53">
        <v>18.2</v>
      </c>
      <c r="F29" s="53">
        <v>2.75</v>
      </c>
      <c r="G29" s="53">
        <v>0.51</v>
      </c>
      <c r="H29" s="53">
        <v>0.7</v>
      </c>
    </row>
    <row r="30" spans="1:16" x14ac:dyDescent="0.2">
      <c r="B30" s="51">
        <v>2</v>
      </c>
      <c r="C30" s="51" t="s">
        <v>141</v>
      </c>
      <c r="D30" s="52">
        <v>80</v>
      </c>
      <c r="E30" s="53">
        <v>18.5</v>
      </c>
      <c r="F30" s="53">
        <v>4.32</v>
      </c>
      <c r="G30" s="53">
        <v>0.67</v>
      </c>
      <c r="H30" s="53">
        <v>0.78</v>
      </c>
      <c r="J30" t="s">
        <v>86</v>
      </c>
      <c r="N30" s="27">
        <f>IFERROR(VLOOKUP($M$28,$B$29:$H$39,3),"")</f>
        <v>330</v>
      </c>
      <c r="O30" t="s">
        <v>83</v>
      </c>
    </row>
    <row r="31" spans="1:16" x14ac:dyDescent="0.2">
      <c r="B31" s="51">
        <v>3</v>
      </c>
      <c r="C31" s="51" t="s">
        <v>141</v>
      </c>
      <c r="D31" s="52">
        <v>100</v>
      </c>
      <c r="E31" s="53">
        <v>18.2</v>
      </c>
      <c r="F31" s="53">
        <v>5.49</v>
      </c>
      <c r="G31" s="53">
        <v>0.67</v>
      </c>
      <c r="H31" s="53">
        <v>1.02</v>
      </c>
      <c r="J31" t="s">
        <v>87</v>
      </c>
      <c r="N31" s="37">
        <f>IFERROR(VLOOKUP($M$28,$B$29:$H$39,4),"")</f>
        <v>37.4</v>
      </c>
      <c r="O31" t="s">
        <v>170</v>
      </c>
    </row>
    <row r="32" spans="1:16" x14ac:dyDescent="0.2">
      <c r="B32" s="51">
        <v>4</v>
      </c>
      <c r="C32" s="51" t="s">
        <v>141</v>
      </c>
      <c r="D32" s="52">
        <v>120</v>
      </c>
      <c r="E32" s="53">
        <v>18.7</v>
      </c>
      <c r="F32" s="53">
        <v>6.42</v>
      </c>
      <c r="G32" s="53">
        <v>0.67</v>
      </c>
      <c r="H32" s="53">
        <v>1.1200000000000001</v>
      </c>
      <c r="J32" t="s">
        <v>88</v>
      </c>
      <c r="N32" s="37">
        <f>IFERROR(VLOOKUP($M$28,$B$29:$H$39,5),"")</f>
        <v>8.83</v>
      </c>
      <c r="O32" t="s">
        <v>173</v>
      </c>
    </row>
    <row r="33" spans="1:16" x14ac:dyDescent="0.2">
      <c r="B33" s="51">
        <v>5</v>
      </c>
      <c r="C33" s="51" t="s">
        <v>141</v>
      </c>
      <c r="D33" s="52">
        <v>160</v>
      </c>
      <c r="E33" s="53">
        <v>18.600000000000001</v>
      </c>
      <c r="F33" s="53">
        <v>8.61</v>
      </c>
      <c r="G33" s="53">
        <v>0.67</v>
      </c>
      <c r="H33" s="53">
        <v>1.47</v>
      </c>
    </row>
    <row r="34" spans="1:16" x14ac:dyDescent="0.2">
      <c r="B34" s="51">
        <v>6</v>
      </c>
      <c r="C34" s="51" t="s">
        <v>141</v>
      </c>
      <c r="D34" s="52">
        <v>200</v>
      </c>
      <c r="E34" s="53">
        <v>18.600000000000001</v>
      </c>
      <c r="F34" s="53">
        <v>10.8</v>
      </c>
      <c r="G34" s="53">
        <v>0.99199999999999999</v>
      </c>
      <c r="H34" s="53">
        <v>1.32</v>
      </c>
    </row>
    <row r="35" spans="1:16" x14ac:dyDescent="0.2">
      <c r="B35" s="51">
        <v>7</v>
      </c>
      <c r="C35" s="51" t="s">
        <v>141</v>
      </c>
      <c r="D35" s="52">
        <v>260</v>
      </c>
      <c r="E35" s="53">
        <v>30.7</v>
      </c>
      <c r="F35" s="53">
        <v>8.4700000000000006</v>
      </c>
      <c r="G35" s="53">
        <v>0.99199999999999999</v>
      </c>
      <c r="H35" s="53">
        <v>1.64</v>
      </c>
    </row>
    <row r="36" spans="1:16" x14ac:dyDescent="0.2">
      <c r="B36" s="51">
        <v>8</v>
      </c>
      <c r="C36" s="51" t="s">
        <v>141</v>
      </c>
      <c r="D36" s="52">
        <v>330</v>
      </c>
      <c r="E36" s="53">
        <v>37.4</v>
      </c>
      <c r="F36" s="53">
        <v>8.83</v>
      </c>
      <c r="G36" s="53">
        <v>0.99199999999999999</v>
      </c>
      <c r="H36" s="53">
        <v>1.956</v>
      </c>
    </row>
    <row r="37" spans="1:16" x14ac:dyDescent="0.2">
      <c r="B37" s="51">
        <v>9</v>
      </c>
      <c r="C37" s="51" t="s">
        <v>145</v>
      </c>
      <c r="D37" s="52">
        <v>250</v>
      </c>
      <c r="E37" s="53">
        <v>31.1</v>
      </c>
      <c r="F37" s="53">
        <v>8.32</v>
      </c>
      <c r="G37" s="53">
        <v>0.99199999999999999</v>
      </c>
      <c r="H37" s="53">
        <v>1.63</v>
      </c>
    </row>
    <row r="38" spans="1:16" x14ac:dyDescent="0.2">
      <c r="B38" s="51">
        <v>10</v>
      </c>
      <c r="C38" s="51" t="s">
        <v>145</v>
      </c>
      <c r="D38" s="52">
        <v>330</v>
      </c>
      <c r="E38" s="53">
        <v>39.1</v>
      </c>
      <c r="F38" s="53">
        <v>8.44</v>
      </c>
      <c r="G38" s="53">
        <v>0.99</v>
      </c>
      <c r="H38" s="53">
        <v>1.956</v>
      </c>
      <c r="J38" s="15"/>
    </row>
    <row r="39" spans="1:16" x14ac:dyDescent="0.2">
      <c r="B39" s="148" t="s">
        <v>146</v>
      </c>
      <c r="C39" s="149"/>
      <c r="D39" s="140"/>
      <c r="E39" s="150"/>
      <c r="F39" s="150"/>
      <c r="G39" s="150"/>
      <c r="H39" s="150"/>
    </row>
    <row r="40" spans="1:16" x14ac:dyDescent="0.2">
      <c r="B40" s="14" t="s">
        <v>147</v>
      </c>
      <c r="C40" s="30"/>
      <c r="D40" s="30"/>
      <c r="E40" s="30"/>
      <c r="F40" s="30"/>
      <c r="G40" s="30"/>
      <c r="H40" s="30"/>
    </row>
    <row r="41" spans="1:16" x14ac:dyDescent="0.2">
      <c r="J41" s="15"/>
    </row>
    <row r="42" spans="1:16" x14ac:dyDescent="0.2">
      <c r="A42" s="25" t="s">
        <v>91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4" spans="1:16" x14ac:dyDescent="0.2">
      <c r="B44" t="s">
        <v>105</v>
      </c>
    </row>
    <row r="45" spans="1:16" x14ac:dyDescent="0.2">
      <c r="B45" s="17" t="s">
        <v>106</v>
      </c>
      <c r="F45" s="43">
        <f>(IFERROR(($F$22/$N$31),""))</f>
        <v>0.64171122994652408</v>
      </c>
      <c r="G45" s="30" t="s">
        <v>109</v>
      </c>
      <c r="H45" s="44">
        <f>(ROUNDUP($F$45,0))</f>
        <v>1</v>
      </c>
      <c r="I45" t="s">
        <v>90</v>
      </c>
    </row>
    <row r="46" spans="1:16" x14ac:dyDescent="0.2">
      <c r="B46" s="17" t="s">
        <v>107</v>
      </c>
      <c r="F46" s="43">
        <f>F21/(H45*N31*N32*0.85)</f>
        <v>1.0687349775939712</v>
      </c>
      <c r="G46" s="30" t="s">
        <v>109</v>
      </c>
      <c r="H46" s="44">
        <f>ROUNDUP($F$46,0)</f>
        <v>2</v>
      </c>
      <c r="I46" t="s">
        <v>120</v>
      </c>
    </row>
    <row r="47" spans="1:16" x14ac:dyDescent="0.2">
      <c r="B47" s="31" t="s">
        <v>131</v>
      </c>
    </row>
    <row r="50" spans="1:13" x14ac:dyDescent="0.2">
      <c r="H50" t="s">
        <v>128</v>
      </c>
    </row>
    <row r="51" spans="1:13" x14ac:dyDescent="0.2">
      <c r="H51" s="17" t="s">
        <v>130</v>
      </c>
      <c r="J51" s="29">
        <f>IFERROR(($N$31*$H$45),"")</f>
        <v>37.4</v>
      </c>
      <c r="K51" t="s">
        <v>170</v>
      </c>
    </row>
    <row r="52" spans="1:13" x14ac:dyDescent="0.2">
      <c r="H52" s="17" t="s">
        <v>129</v>
      </c>
      <c r="J52" s="29">
        <f>IFERROR(($N$32*$H$46),"")</f>
        <v>17.66</v>
      </c>
      <c r="K52" t="s">
        <v>173</v>
      </c>
    </row>
    <row r="53" spans="1:13" x14ac:dyDescent="0.2">
      <c r="H53" s="39" t="s">
        <v>136</v>
      </c>
    </row>
    <row r="55" spans="1:13" x14ac:dyDescent="0.2">
      <c r="H55" s="40" t="s">
        <v>135</v>
      </c>
    </row>
    <row r="56" spans="1:13" x14ac:dyDescent="0.2">
      <c r="H56" s="41" t="s">
        <v>132</v>
      </c>
      <c r="I56" s="19"/>
      <c r="J56" s="151">
        <v>1</v>
      </c>
      <c r="K56" s="19" t="s">
        <v>90</v>
      </c>
    </row>
    <row r="57" spans="1:13" x14ac:dyDescent="0.2">
      <c r="H57" s="41" t="s">
        <v>133</v>
      </c>
      <c r="I57" s="19"/>
      <c r="J57" s="151">
        <v>1</v>
      </c>
      <c r="K57" s="19" t="s">
        <v>120</v>
      </c>
    </row>
    <row r="58" spans="1:13" x14ac:dyDescent="0.2">
      <c r="H58" t="s">
        <v>134</v>
      </c>
    </row>
    <row r="59" spans="1:13" x14ac:dyDescent="0.2">
      <c r="H59" s="41" t="s">
        <v>130</v>
      </c>
      <c r="J59" s="42">
        <f>IFERROR(($N$31*$J$56),"")</f>
        <v>37.4</v>
      </c>
      <c r="K59" s="19" t="s">
        <v>170</v>
      </c>
    </row>
    <row r="60" spans="1:13" x14ac:dyDescent="0.2">
      <c r="H60" s="41" t="s">
        <v>129</v>
      </c>
      <c r="J60" s="42">
        <f>IFERROR(($N$32*$J$57),"")</f>
        <v>8.83</v>
      </c>
      <c r="K60" s="19" t="s">
        <v>173</v>
      </c>
    </row>
    <row r="61" spans="1:13" x14ac:dyDescent="0.2">
      <c r="H61" s="39" t="s">
        <v>136</v>
      </c>
    </row>
    <row r="62" spans="1:13" x14ac:dyDescent="0.2">
      <c r="B62" s="14"/>
    </row>
    <row r="63" spans="1:13" x14ac:dyDescent="0.2">
      <c r="A63" s="45"/>
      <c r="B63" s="4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x14ac:dyDescent="0.2">
      <c r="A64" s="47" t="s">
        <v>122</v>
      </c>
      <c r="B64" s="46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x14ac:dyDescent="0.2">
      <c r="A65" s="47"/>
      <c r="B65" s="46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s="35" customFormat="1" x14ac:dyDescent="0.2">
      <c r="A66" s="48"/>
      <c r="B66" s="48"/>
      <c r="C66" s="48"/>
      <c r="D66" s="48"/>
      <c r="E66" s="190" t="s">
        <v>176</v>
      </c>
      <c r="F66" s="191" t="s">
        <v>177</v>
      </c>
      <c r="G66" s="48"/>
      <c r="H66" s="48"/>
      <c r="I66" s="48"/>
      <c r="J66" s="48"/>
      <c r="K66" s="48"/>
      <c r="L66" s="48"/>
      <c r="M66" s="48"/>
    </row>
    <row r="67" spans="1:13" s="35" customFormat="1" x14ac:dyDescent="0.2">
      <c r="A67" s="48"/>
      <c r="B67" s="48" t="s">
        <v>114</v>
      </c>
      <c r="C67" s="48"/>
      <c r="D67" s="48"/>
      <c r="E67" s="50">
        <f>$N$30</f>
        <v>330</v>
      </c>
      <c r="F67" s="192">
        <f>$N$30</f>
        <v>330</v>
      </c>
      <c r="G67" s="48" t="s">
        <v>83</v>
      </c>
      <c r="H67" s="48"/>
      <c r="I67" s="48"/>
      <c r="J67" s="48"/>
      <c r="K67" s="48"/>
      <c r="L67" s="48"/>
      <c r="M67" s="48"/>
    </row>
    <row r="68" spans="1:13" x14ac:dyDescent="0.2">
      <c r="A68" s="45"/>
      <c r="B68" s="45" t="s">
        <v>113</v>
      </c>
      <c r="C68" s="45"/>
      <c r="D68" s="45"/>
      <c r="E68" s="27">
        <f>$H$45*$H$46</f>
        <v>2</v>
      </c>
      <c r="F68" s="193">
        <f>$J$56*$J$57</f>
        <v>1</v>
      </c>
      <c r="G68" s="45" t="s">
        <v>90</v>
      </c>
      <c r="H68" s="45"/>
      <c r="I68" s="45"/>
      <c r="J68" s="45"/>
      <c r="K68" s="45"/>
      <c r="L68" s="45"/>
      <c r="M68" s="45"/>
    </row>
    <row r="69" spans="1:13" x14ac:dyDescent="0.2">
      <c r="A69" s="45"/>
      <c r="B69" s="45" t="s">
        <v>115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x14ac:dyDescent="0.2">
      <c r="A70" s="45"/>
      <c r="B70" s="49" t="s">
        <v>121</v>
      </c>
      <c r="C70" s="45"/>
      <c r="D70" s="45"/>
      <c r="E70" s="27">
        <f>$E$67*$E$68</f>
        <v>660</v>
      </c>
      <c r="F70" s="193">
        <f>$E$67*$E$68</f>
        <v>660</v>
      </c>
      <c r="G70" s="45" t="s">
        <v>83</v>
      </c>
      <c r="H70" s="45"/>
      <c r="I70" s="45"/>
      <c r="J70" s="45"/>
      <c r="K70" s="45"/>
      <c r="L70" s="45"/>
      <c r="M70" s="45"/>
    </row>
    <row r="71" spans="1:13" x14ac:dyDescent="0.2">
      <c r="A71" s="45"/>
      <c r="B71" s="49" t="s">
        <v>171</v>
      </c>
      <c r="C71" s="45"/>
      <c r="D71" s="45"/>
      <c r="E71" s="37">
        <f>$J$51</f>
        <v>37.4</v>
      </c>
      <c r="F71" s="194">
        <f>$J$59</f>
        <v>37.4</v>
      </c>
      <c r="G71" s="45" t="s">
        <v>84</v>
      </c>
      <c r="H71" s="45"/>
      <c r="I71" s="45"/>
      <c r="J71" s="45"/>
      <c r="K71" s="45"/>
      <c r="L71" s="45"/>
      <c r="M71" s="45"/>
    </row>
    <row r="72" spans="1:13" x14ac:dyDescent="0.2">
      <c r="A72" s="45"/>
      <c r="B72" s="49" t="s">
        <v>172</v>
      </c>
      <c r="C72" s="45"/>
      <c r="D72" s="45"/>
      <c r="E72" s="37">
        <f>$J$52</f>
        <v>17.66</v>
      </c>
      <c r="F72" s="194">
        <f>$J$60</f>
        <v>8.83</v>
      </c>
      <c r="G72" s="45" t="s">
        <v>85</v>
      </c>
      <c r="H72" s="45"/>
      <c r="I72" s="45"/>
      <c r="J72" s="45"/>
      <c r="K72" s="45"/>
      <c r="L72" s="45"/>
      <c r="M72" s="45"/>
    </row>
    <row r="73" spans="1:13" x14ac:dyDescent="0.2">
      <c r="A73" s="45"/>
      <c r="B73" s="49" t="s">
        <v>116</v>
      </c>
      <c r="C73" s="45"/>
      <c r="D73" s="45"/>
      <c r="E73" s="27">
        <f>$H$45</f>
        <v>1</v>
      </c>
      <c r="F73" s="193">
        <f>$J$56</f>
        <v>1</v>
      </c>
      <c r="G73" s="45" t="s">
        <v>117</v>
      </c>
      <c r="H73" s="45"/>
      <c r="I73" s="45"/>
      <c r="J73" s="45"/>
      <c r="K73" s="45"/>
      <c r="L73" s="45"/>
      <c r="M73" s="45"/>
    </row>
    <row r="74" spans="1:13" x14ac:dyDescent="0.2">
      <c r="A74" s="45"/>
      <c r="B74" s="49" t="s">
        <v>118</v>
      </c>
      <c r="C74" s="45"/>
      <c r="D74" s="45"/>
      <c r="E74" s="27">
        <f>$H$46</f>
        <v>2</v>
      </c>
      <c r="F74" s="193">
        <f>$J$57</f>
        <v>1</v>
      </c>
      <c r="G74" s="45" t="s">
        <v>119</v>
      </c>
      <c r="H74" s="45"/>
      <c r="I74" s="45"/>
      <c r="J74" s="45"/>
      <c r="K74" s="45"/>
      <c r="L74" s="45"/>
      <c r="M74" s="45"/>
    </row>
    <row r="75" spans="1:13" x14ac:dyDescent="0.2">
      <c r="A75" s="45"/>
      <c r="B75" s="49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3" x14ac:dyDescent="0.2">
      <c r="B76" s="36"/>
    </row>
    <row r="77" spans="1:13" x14ac:dyDescent="0.2">
      <c r="A77" t="s">
        <v>104</v>
      </c>
    </row>
    <row r="78" spans="1:13" x14ac:dyDescent="0.2">
      <c r="A78" t="s">
        <v>169</v>
      </c>
    </row>
    <row r="79" spans="1:13" x14ac:dyDescent="0.2">
      <c r="A79" t="s">
        <v>112</v>
      </c>
    </row>
  </sheetData>
  <sheetProtection algorithmName="SHA-512" hashValue="09pkSKrvGpbR2Z0EAdUbkgbHVcWSNzKopmdarADoLfZGhFegl+T9YRkBhxcrKO4mL3v+QYWi06qi8yYvrNXrwg==" saltValue="Blt8JYcnL5Gw3Qjn/vZ/2g==" spinCount="100000" sheet="1" objects="1" scenarios="1"/>
  <mergeCells count="7">
    <mergeCell ref="C27:C28"/>
    <mergeCell ref="B27:B28"/>
    <mergeCell ref="E20:F20"/>
    <mergeCell ref="G27:H27"/>
    <mergeCell ref="F27:F28"/>
    <mergeCell ref="E27:E28"/>
    <mergeCell ref="D27:D28"/>
  </mergeCells>
  <conditionalFormatting sqref="E12">
    <cfRule type="cellIs" dxfId="10" priority="9" operator="greaterThan">
      <formula>2000</formula>
    </cfRule>
    <cfRule type="cellIs" dxfId="9" priority="10" operator="between">
      <formula>1500</formula>
      <formula>2000</formula>
    </cfRule>
    <cfRule type="cellIs" dxfId="8" priority="12" operator="lessThan">
      <formula>1500</formula>
    </cfRule>
  </conditionalFormatting>
  <conditionalFormatting sqref="J51">
    <cfRule type="cellIs" dxfId="7" priority="7" operator="greaterThan">
      <formula>$F$22</formula>
    </cfRule>
    <cfRule type="cellIs" dxfId="6" priority="8" operator="lessThan">
      <formula>$F$22</formula>
    </cfRule>
  </conditionalFormatting>
  <conditionalFormatting sqref="J52">
    <cfRule type="cellIs" dxfId="5" priority="5" operator="greaterThan">
      <formula>$F$23</formula>
    </cfRule>
    <cfRule type="cellIs" dxfId="4" priority="6" operator="lessThan">
      <formula>$F$23</formula>
    </cfRule>
  </conditionalFormatting>
  <conditionalFormatting sqref="J59">
    <cfRule type="cellIs" dxfId="3" priority="3" operator="greaterThan">
      <formula>$F$22</formula>
    </cfRule>
    <cfRule type="cellIs" dxfId="2" priority="4" operator="lessThan">
      <formula>$F$22</formula>
    </cfRule>
  </conditionalFormatting>
  <conditionalFormatting sqref="J60">
    <cfRule type="cellIs" dxfId="1" priority="1" operator="greaterThan">
      <formula>$F$23</formula>
    </cfRule>
    <cfRule type="cellIs" dxfId="0" priority="2" operator="lessThan">
      <formula>$F$23</formula>
    </cfRule>
  </conditionalFormatting>
  <dataValidations count="1">
    <dataValidation type="list" allowBlank="1" showInputMessage="1" showErrorMessage="1" prompt="เลือกลำดับแผงที่ต้องการใช้" sqref="M28">
      <formula1>$B$29:$B$39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showGridLines="0" workbookViewId="0">
      <pane ySplit="2" topLeftCell="A3" activePane="bottomLeft" state="frozen"/>
      <selection pane="bottomLeft" activeCell="K31" sqref="K31"/>
    </sheetView>
  </sheetViews>
  <sheetFormatPr defaultRowHeight="14.25" x14ac:dyDescent="0.2"/>
  <cols>
    <col min="1" max="1" width="4.125" customWidth="1"/>
    <col min="2" max="2" width="2.625" customWidth="1"/>
    <col min="3" max="3" width="12.625" customWidth="1"/>
    <col min="4" max="4" width="17.625" customWidth="1"/>
    <col min="5" max="5" width="9" style="30"/>
    <col min="6" max="6" width="13.625" customWidth="1"/>
    <col min="7" max="7" width="17.625" customWidth="1"/>
    <col min="8" max="10" width="2.625" customWidth="1"/>
    <col min="11" max="11" width="12.625" customWidth="1"/>
    <col min="12" max="12" width="17.625" customWidth="1"/>
    <col min="14" max="14" width="12.625" customWidth="1"/>
    <col min="15" max="15" width="17.625" customWidth="1"/>
    <col min="16" max="16" width="2.625" customWidth="1"/>
  </cols>
  <sheetData>
    <row r="1" spans="1:19" ht="18" x14ac:dyDescent="0.25">
      <c r="A1" s="8" t="s">
        <v>148</v>
      </c>
      <c r="B1" s="8"/>
      <c r="D1" s="58" t="s">
        <v>168</v>
      </c>
      <c r="E1"/>
    </row>
    <row r="3" spans="1:19" x14ac:dyDescent="0.2">
      <c r="A3" s="55"/>
      <c r="B3" s="55"/>
      <c r="C3" s="55"/>
      <c r="D3" s="55"/>
      <c r="E3" s="57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7"/>
      <c r="R3" s="7"/>
      <c r="S3" s="7"/>
    </row>
    <row r="4" spans="1:19" s="7" customFormat="1" x14ac:dyDescent="0.2">
      <c r="E4" s="85"/>
    </row>
    <row r="5" spans="1:19" ht="18" x14ac:dyDescent="0.25">
      <c r="A5" s="86" t="s">
        <v>149</v>
      </c>
      <c r="B5" s="86"/>
      <c r="C5" s="87"/>
    </row>
    <row r="6" spans="1:19" ht="15" thickBot="1" x14ac:dyDescent="0.25">
      <c r="A6" s="81" t="s">
        <v>167</v>
      </c>
      <c r="B6" s="54"/>
    </row>
    <row r="7" spans="1:19" ht="8.1" customHeight="1" x14ac:dyDescent="0.2">
      <c r="B7" s="59"/>
      <c r="C7" s="60"/>
      <c r="D7" s="60"/>
      <c r="E7" s="61"/>
      <c r="F7" s="60"/>
      <c r="G7" s="60"/>
      <c r="H7" s="62"/>
      <c r="J7" s="59"/>
      <c r="K7" s="60"/>
      <c r="L7" s="60"/>
      <c r="M7" s="60"/>
      <c r="N7" s="60"/>
      <c r="O7" s="60"/>
      <c r="P7" s="62"/>
    </row>
    <row r="8" spans="1:19" x14ac:dyDescent="0.2">
      <c r="B8" s="63"/>
      <c r="C8" s="80">
        <v>5</v>
      </c>
      <c r="D8" s="64" t="s">
        <v>151</v>
      </c>
      <c r="E8" s="65" t="s">
        <v>150</v>
      </c>
      <c r="F8" s="82">
        <f>$C$8*100</f>
        <v>500</v>
      </c>
      <c r="G8" s="64" t="s">
        <v>152</v>
      </c>
      <c r="H8" s="66"/>
      <c r="I8" s="30"/>
      <c r="J8" s="63"/>
      <c r="K8" s="80"/>
      <c r="L8" s="64" t="s">
        <v>152</v>
      </c>
      <c r="M8" s="65" t="s">
        <v>150</v>
      </c>
      <c r="N8" s="82">
        <f>$K$8*0.01</f>
        <v>0</v>
      </c>
      <c r="O8" s="64" t="s">
        <v>151</v>
      </c>
      <c r="P8" s="71"/>
    </row>
    <row r="9" spans="1:19" ht="8.1" customHeight="1" x14ac:dyDescent="0.2">
      <c r="B9" s="63"/>
      <c r="C9" s="73"/>
      <c r="D9" s="64"/>
      <c r="E9" s="64"/>
      <c r="F9" s="73"/>
      <c r="G9" s="64"/>
      <c r="H9" s="66"/>
      <c r="I9" s="30"/>
      <c r="J9" s="63"/>
      <c r="K9" s="73"/>
      <c r="L9" s="10"/>
      <c r="M9" s="64"/>
      <c r="N9" s="73"/>
      <c r="O9" s="10"/>
      <c r="P9" s="71"/>
    </row>
    <row r="10" spans="1:19" x14ac:dyDescent="0.2">
      <c r="B10" s="63"/>
      <c r="C10" s="80">
        <v>5</v>
      </c>
      <c r="D10" s="64" t="s">
        <v>151</v>
      </c>
      <c r="E10" s="65" t="s">
        <v>150</v>
      </c>
      <c r="F10" s="82">
        <f>$C$10*1000</f>
        <v>5000</v>
      </c>
      <c r="G10" s="64" t="s">
        <v>153</v>
      </c>
      <c r="H10" s="66"/>
      <c r="I10" s="30"/>
      <c r="J10" s="63"/>
      <c r="K10" s="80"/>
      <c r="L10" s="64" t="s">
        <v>152</v>
      </c>
      <c r="M10" s="65" t="s">
        <v>150</v>
      </c>
      <c r="N10" s="82">
        <f>$K$10*10</f>
        <v>0</v>
      </c>
      <c r="O10" s="64" t="s">
        <v>153</v>
      </c>
      <c r="P10" s="71"/>
    </row>
    <row r="11" spans="1:19" ht="8.1" customHeight="1" x14ac:dyDescent="0.2">
      <c r="B11" s="63"/>
      <c r="C11" s="73"/>
      <c r="D11" s="64"/>
      <c r="E11" s="64"/>
      <c r="F11" s="73"/>
      <c r="G11" s="64"/>
      <c r="H11" s="66"/>
      <c r="I11" s="30"/>
      <c r="J11" s="63"/>
      <c r="K11" s="73"/>
      <c r="L11" s="10"/>
      <c r="M11" s="64"/>
      <c r="N11" s="73"/>
      <c r="O11" s="64"/>
      <c r="P11" s="71"/>
    </row>
    <row r="12" spans="1:19" x14ac:dyDescent="0.2">
      <c r="B12" s="63"/>
      <c r="C12" s="80">
        <v>5</v>
      </c>
      <c r="D12" s="64" t="s">
        <v>151</v>
      </c>
      <c r="E12" s="65" t="s">
        <v>150</v>
      </c>
      <c r="F12" s="82">
        <f>$C$12*39.37</f>
        <v>196.85</v>
      </c>
      <c r="G12" s="64" t="s">
        <v>155</v>
      </c>
      <c r="H12" s="66"/>
      <c r="I12" s="30"/>
      <c r="J12" s="63"/>
      <c r="K12" s="80"/>
      <c r="L12" s="64" t="s">
        <v>152</v>
      </c>
      <c r="M12" s="65" t="s">
        <v>150</v>
      </c>
      <c r="N12" s="82">
        <f>$K$12*0.3937</f>
        <v>0</v>
      </c>
      <c r="O12" s="64" t="s">
        <v>155</v>
      </c>
      <c r="P12" s="71"/>
    </row>
    <row r="13" spans="1:19" ht="8.1" customHeight="1" x14ac:dyDescent="0.2">
      <c r="B13" s="63"/>
      <c r="C13" s="73"/>
      <c r="D13" s="64"/>
      <c r="E13" s="64"/>
      <c r="F13" s="73"/>
      <c r="G13" s="64"/>
      <c r="H13" s="66"/>
      <c r="I13" s="30"/>
      <c r="J13" s="63"/>
      <c r="K13" s="73"/>
      <c r="L13" s="10"/>
      <c r="M13" s="64"/>
      <c r="N13" s="73"/>
      <c r="O13" s="64"/>
      <c r="P13" s="71"/>
    </row>
    <row r="14" spans="1:19" x14ac:dyDescent="0.2">
      <c r="B14" s="63"/>
      <c r="C14" s="80">
        <v>5</v>
      </c>
      <c r="D14" s="64" t="s">
        <v>151</v>
      </c>
      <c r="E14" s="65" t="s">
        <v>150</v>
      </c>
      <c r="F14" s="82">
        <f>$C$14*3.2808</f>
        <v>16.404</v>
      </c>
      <c r="G14" s="64" t="s">
        <v>154</v>
      </c>
      <c r="H14" s="66"/>
      <c r="I14" s="30"/>
      <c r="J14" s="63"/>
      <c r="K14" s="80"/>
      <c r="L14" s="64" t="s">
        <v>152</v>
      </c>
      <c r="M14" s="65" t="s">
        <v>150</v>
      </c>
      <c r="N14" s="82">
        <f>$K$14*0.03281</f>
        <v>0</v>
      </c>
      <c r="O14" s="64" t="s">
        <v>154</v>
      </c>
      <c r="P14" s="71"/>
    </row>
    <row r="15" spans="1:19" ht="8.1" customHeight="1" thickBot="1" x14ac:dyDescent="0.25">
      <c r="B15" s="67"/>
      <c r="C15" s="68"/>
      <c r="D15" s="68"/>
      <c r="E15" s="69"/>
      <c r="F15" s="68"/>
      <c r="G15" s="68"/>
      <c r="H15" s="70"/>
      <c r="J15" s="67"/>
      <c r="K15" s="68"/>
      <c r="L15" s="68"/>
      <c r="M15" s="68"/>
      <c r="N15" s="68"/>
      <c r="O15" s="68"/>
      <c r="P15" s="70"/>
    </row>
    <row r="16" spans="1:19" ht="8.1" customHeight="1" thickBot="1" x14ac:dyDescent="0.25"/>
    <row r="17" spans="2:16" ht="8.1" customHeight="1" x14ac:dyDescent="0.2">
      <c r="B17" s="59"/>
      <c r="C17" s="60"/>
      <c r="D17" s="61"/>
      <c r="E17" s="61"/>
      <c r="F17" s="60"/>
      <c r="G17" s="60"/>
      <c r="H17" s="62"/>
      <c r="J17" s="59"/>
      <c r="K17" s="60"/>
      <c r="L17" s="61"/>
      <c r="M17" s="61"/>
      <c r="N17" s="60"/>
      <c r="O17" s="60"/>
      <c r="P17" s="62"/>
    </row>
    <row r="18" spans="2:16" x14ac:dyDescent="0.2">
      <c r="B18" s="63"/>
      <c r="C18" s="80"/>
      <c r="D18" s="64" t="s">
        <v>153</v>
      </c>
      <c r="E18" s="65" t="s">
        <v>150</v>
      </c>
      <c r="F18" s="82">
        <f>$C$18*0.001</f>
        <v>0</v>
      </c>
      <c r="G18" s="64" t="s">
        <v>151</v>
      </c>
      <c r="H18" s="71"/>
      <c r="J18" s="63"/>
      <c r="K18" s="80"/>
      <c r="L18" s="64" t="s">
        <v>155</v>
      </c>
      <c r="M18" s="65" t="s">
        <v>150</v>
      </c>
      <c r="N18" s="82">
        <f>$K$18*0.0254</f>
        <v>0</v>
      </c>
      <c r="O18" s="64" t="s">
        <v>151</v>
      </c>
      <c r="P18" s="71"/>
    </row>
    <row r="19" spans="2:16" ht="8.1" customHeight="1" x14ac:dyDescent="0.2">
      <c r="B19" s="63"/>
      <c r="C19" s="73"/>
      <c r="D19" s="10"/>
      <c r="E19" s="64"/>
      <c r="F19" s="73"/>
      <c r="G19" s="10"/>
      <c r="H19" s="71"/>
      <c r="J19" s="63"/>
      <c r="K19" s="73"/>
      <c r="L19" s="10"/>
      <c r="M19" s="64"/>
      <c r="N19" s="73"/>
      <c r="O19" s="10"/>
      <c r="P19" s="71"/>
    </row>
    <row r="20" spans="2:16" x14ac:dyDescent="0.2">
      <c r="B20" s="63"/>
      <c r="C20" s="80"/>
      <c r="D20" s="64" t="s">
        <v>153</v>
      </c>
      <c r="E20" s="65" t="s">
        <v>150</v>
      </c>
      <c r="F20" s="82">
        <f>$C$20*0.1</f>
        <v>0</v>
      </c>
      <c r="G20" s="64" t="s">
        <v>152</v>
      </c>
      <c r="H20" s="71"/>
      <c r="J20" s="63"/>
      <c r="K20" s="80"/>
      <c r="L20" s="64" t="s">
        <v>155</v>
      </c>
      <c r="M20" s="65" t="s">
        <v>150</v>
      </c>
      <c r="N20" s="82">
        <f>$K$20*2.54</f>
        <v>0</v>
      </c>
      <c r="O20" s="64" t="s">
        <v>152</v>
      </c>
      <c r="P20" s="71"/>
    </row>
    <row r="21" spans="2:16" ht="8.1" customHeight="1" x14ac:dyDescent="0.2">
      <c r="B21" s="63"/>
      <c r="C21" s="73"/>
      <c r="D21" s="10"/>
      <c r="E21" s="64"/>
      <c r="F21" s="73"/>
      <c r="G21" s="64"/>
      <c r="H21" s="71"/>
      <c r="J21" s="63"/>
      <c r="K21" s="73"/>
      <c r="L21" s="10"/>
      <c r="M21" s="64"/>
      <c r="N21" s="73"/>
      <c r="O21" s="64"/>
      <c r="P21" s="71"/>
    </row>
    <row r="22" spans="2:16" x14ac:dyDescent="0.2">
      <c r="B22" s="63"/>
      <c r="C22" s="80"/>
      <c r="D22" s="64" t="s">
        <v>153</v>
      </c>
      <c r="E22" s="65" t="s">
        <v>150</v>
      </c>
      <c r="F22" s="82">
        <f>$C$22*0.0394</f>
        <v>0</v>
      </c>
      <c r="G22" s="64" t="s">
        <v>155</v>
      </c>
      <c r="H22" s="71"/>
      <c r="J22" s="63"/>
      <c r="K22" s="80"/>
      <c r="L22" s="64" t="s">
        <v>155</v>
      </c>
      <c r="M22" s="65" t="s">
        <v>150</v>
      </c>
      <c r="N22" s="82">
        <f>$K$22*25.4</f>
        <v>0</v>
      </c>
      <c r="O22" s="64" t="s">
        <v>153</v>
      </c>
      <c r="P22" s="71"/>
    </row>
    <row r="23" spans="2:16" ht="8.1" customHeight="1" x14ac:dyDescent="0.2">
      <c r="B23" s="63"/>
      <c r="C23" s="73"/>
      <c r="D23" s="10"/>
      <c r="E23" s="64"/>
      <c r="F23" s="73"/>
      <c r="G23" s="64"/>
      <c r="H23" s="71"/>
      <c r="J23" s="63"/>
      <c r="K23" s="73"/>
      <c r="L23" s="10"/>
      <c r="M23" s="64"/>
      <c r="N23" s="73"/>
      <c r="O23" s="64"/>
      <c r="P23" s="71"/>
    </row>
    <row r="24" spans="2:16" x14ac:dyDescent="0.2">
      <c r="B24" s="63"/>
      <c r="C24" s="80"/>
      <c r="D24" s="64" t="s">
        <v>153</v>
      </c>
      <c r="E24" s="65" t="s">
        <v>150</v>
      </c>
      <c r="F24" s="82">
        <f>$C$24*0.003281</f>
        <v>0</v>
      </c>
      <c r="G24" s="64" t="s">
        <v>154</v>
      </c>
      <c r="H24" s="71"/>
      <c r="J24" s="63"/>
      <c r="K24" s="80"/>
      <c r="L24" s="64" t="s">
        <v>155</v>
      </c>
      <c r="M24" s="65" t="s">
        <v>150</v>
      </c>
      <c r="N24" s="82">
        <f>$K$24*0.0833</f>
        <v>0</v>
      </c>
      <c r="O24" s="64" t="s">
        <v>154</v>
      </c>
      <c r="P24" s="71"/>
    </row>
    <row r="25" spans="2:16" ht="8.1" customHeight="1" thickBot="1" x14ac:dyDescent="0.25">
      <c r="B25" s="67"/>
      <c r="C25" s="68"/>
      <c r="D25" s="68"/>
      <c r="E25" s="69"/>
      <c r="F25" s="68"/>
      <c r="G25" s="68"/>
      <c r="H25" s="70"/>
      <c r="J25" s="67"/>
      <c r="K25" s="68"/>
      <c r="L25" s="68"/>
      <c r="M25" s="69"/>
      <c r="N25" s="68"/>
      <c r="O25" s="68"/>
      <c r="P25" s="70"/>
    </row>
    <row r="26" spans="2:16" s="10" customFormat="1" ht="8.1" customHeight="1" thickBot="1" x14ac:dyDescent="0.25">
      <c r="E26" s="64"/>
    </row>
    <row r="27" spans="2:16" ht="8.1" customHeight="1" x14ac:dyDescent="0.2">
      <c r="B27" s="59"/>
      <c r="C27" s="60"/>
      <c r="D27" s="60"/>
      <c r="E27" s="60"/>
      <c r="F27" s="60"/>
      <c r="G27" s="60"/>
      <c r="H27" s="62"/>
      <c r="J27" s="10"/>
      <c r="K27" s="10"/>
      <c r="L27" s="10"/>
      <c r="M27" s="10"/>
      <c r="N27" s="10"/>
      <c r="O27" s="10"/>
      <c r="P27" s="10"/>
    </row>
    <row r="28" spans="2:16" x14ac:dyDescent="0.2">
      <c r="B28" s="63"/>
      <c r="C28" s="80"/>
      <c r="D28" s="64" t="s">
        <v>154</v>
      </c>
      <c r="E28" s="65" t="s">
        <v>150</v>
      </c>
      <c r="F28" s="82">
        <f>$C$28*0.3048</f>
        <v>0</v>
      </c>
      <c r="G28" s="64" t="s">
        <v>151</v>
      </c>
      <c r="H28" s="71"/>
      <c r="J28" s="10"/>
      <c r="K28" s="10"/>
      <c r="L28" s="64"/>
      <c r="M28" s="65"/>
      <c r="N28" s="10"/>
      <c r="O28" s="64"/>
      <c r="P28" s="10"/>
    </row>
    <row r="29" spans="2:16" ht="8.1" customHeight="1" x14ac:dyDescent="0.2">
      <c r="B29" s="63"/>
      <c r="C29" s="73"/>
      <c r="D29" s="10"/>
      <c r="E29" s="64"/>
      <c r="F29" s="73"/>
      <c r="G29" s="10"/>
      <c r="H29" s="71"/>
      <c r="J29" s="10"/>
      <c r="K29" s="10"/>
      <c r="L29" s="10"/>
      <c r="M29" s="64"/>
      <c r="N29" s="10"/>
      <c r="O29" s="10"/>
      <c r="P29" s="10"/>
    </row>
    <row r="30" spans="2:16" x14ac:dyDescent="0.2">
      <c r="B30" s="63"/>
      <c r="C30" s="80"/>
      <c r="D30" s="64" t="s">
        <v>154</v>
      </c>
      <c r="E30" s="65" t="s">
        <v>150</v>
      </c>
      <c r="F30" s="82">
        <f>$C$30*30.48</f>
        <v>0</v>
      </c>
      <c r="G30" s="64" t="s">
        <v>152</v>
      </c>
      <c r="H30" s="71"/>
      <c r="J30" s="10"/>
      <c r="K30" s="10"/>
      <c r="L30" s="64"/>
      <c r="M30" s="65"/>
      <c r="N30" s="10"/>
      <c r="O30" s="64"/>
      <c r="P30" s="10"/>
    </row>
    <row r="31" spans="2:16" ht="8.1" customHeight="1" x14ac:dyDescent="0.2">
      <c r="B31" s="63"/>
      <c r="C31" s="73"/>
      <c r="D31" s="10"/>
      <c r="E31" s="64"/>
      <c r="F31" s="73"/>
      <c r="G31" s="64"/>
      <c r="H31" s="71"/>
      <c r="J31" s="10"/>
      <c r="K31" s="10"/>
      <c r="L31" s="10"/>
      <c r="M31" s="64"/>
      <c r="N31" s="10"/>
      <c r="O31" s="64"/>
      <c r="P31" s="10"/>
    </row>
    <row r="32" spans="2:16" x14ac:dyDescent="0.2">
      <c r="B32" s="63"/>
      <c r="C32" s="80"/>
      <c r="D32" s="64" t="s">
        <v>154</v>
      </c>
      <c r="E32" s="65" t="s">
        <v>150</v>
      </c>
      <c r="F32" s="82">
        <f>$C$32*304.8</f>
        <v>0</v>
      </c>
      <c r="G32" s="64" t="s">
        <v>153</v>
      </c>
      <c r="H32" s="71"/>
      <c r="J32" s="10"/>
      <c r="K32" s="10"/>
      <c r="L32" s="64"/>
      <c r="M32" s="65"/>
      <c r="N32" s="10"/>
      <c r="O32" s="64"/>
      <c r="P32" s="10"/>
    </row>
    <row r="33" spans="1:16" ht="8.1" customHeight="1" x14ac:dyDescent="0.2">
      <c r="B33" s="63"/>
      <c r="C33" s="73"/>
      <c r="D33" s="10"/>
      <c r="E33" s="64"/>
      <c r="F33" s="73"/>
      <c r="G33" s="64"/>
      <c r="H33" s="71"/>
      <c r="J33" s="10"/>
      <c r="K33" s="10"/>
      <c r="L33" s="10"/>
      <c r="M33" s="64"/>
      <c r="N33" s="10"/>
      <c r="O33" s="64"/>
      <c r="P33" s="10"/>
    </row>
    <row r="34" spans="1:16" x14ac:dyDescent="0.2">
      <c r="B34" s="63"/>
      <c r="C34" s="80"/>
      <c r="D34" s="64" t="s">
        <v>154</v>
      </c>
      <c r="E34" s="65" t="s">
        <v>150</v>
      </c>
      <c r="F34" s="82">
        <f>$C$34*12</f>
        <v>0</v>
      </c>
      <c r="G34" s="64" t="s">
        <v>155</v>
      </c>
      <c r="H34" s="71"/>
      <c r="J34" s="10"/>
      <c r="K34" s="10"/>
      <c r="L34" s="64"/>
      <c r="M34" s="65"/>
      <c r="N34" s="10"/>
      <c r="O34" s="64"/>
      <c r="P34" s="10"/>
    </row>
    <row r="35" spans="1:16" ht="8.1" customHeight="1" thickBot="1" x14ac:dyDescent="0.25">
      <c r="B35" s="67"/>
      <c r="C35" s="68"/>
      <c r="D35" s="68"/>
      <c r="E35" s="68"/>
      <c r="F35" s="68"/>
      <c r="G35" s="68"/>
      <c r="H35" s="70"/>
      <c r="J35" s="10"/>
      <c r="K35" s="10"/>
      <c r="L35" s="10"/>
      <c r="M35" s="10"/>
      <c r="N35" s="10"/>
      <c r="O35" s="10"/>
      <c r="P35" s="10"/>
    </row>
    <row r="37" spans="1:16" x14ac:dyDescent="0.2">
      <c r="A37" s="56"/>
      <c r="B37" s="56"/>
      <c r="C37" s="56"/>
      <c r="D37" s="56"/>
      <c r="E37" s="7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7" customFormat="1" x14ac:dyDescent="0.2">
      <c r="E38" s="85"/>
    </row>
    <row r="39" spans="1:16" ht="18" x14ac:dyDescent="0.25">
      <c r="A39" s="88" t="s">
        <v>156</v>
      </c>
      <c r="B39" s="89"/>
      <c r="C39" s="89"/>
    </row>
    <row r="40" spans="1:16" ht="15" thickBot="1" x14ac:dyDescent="0.25">
      <c r="A40" s="81" t="s">
        <v>167</v>
      </c>
      <c r="B40" s="54"/>
    </row>
    <row r="41" spans="1:16" ht="8.1" customHeight="1" x14ac:dyDescent="0.2">
      <c r="B41" s="59"/>
      <c r="C41" s="60"/>
      <c r="D41" s="60"/>
      <c r="E41" s="61"/>
      <c r="F41" s="60"/>
      <c r="G41" s="60"/>
      <c r="H41" s="62"/>
      <c r="J41" s="59"/>
      <c r="K41" s="60"/>
      <c r="L41" s="60"/>
      <c r="M41" s="60"/>
      <c r="N41" s="60"/>
      <c r="O41" s="60"/>
      <c r="P41" s="62"/>
    </row>
    <row r="42" spans="1:16" x14ac:dyDescent="0.2">
      <c r="B42" s="63"/>
      <c r="C42" s="80"/>
      <c r="D42" s="64" t="s">
        <v>157</v>
      </c>
      <c r="E42" s="65" t="s">
        <v>150</v>
      </c>
      <c r="F42" s="82">
        <f>$C$42*1000</f>
        <v>0</v>
      </c>
      <c r="G42" s="64" t="s">
        <v>158</v>
      </c>
      <c r="H42" s="71"/>
      <c r="J42" s="63"/>
      <c r="K42" s="80"/>
      <c r="L42" s="64" t="s">
        <v>158</v>
      </c>
      <c r="M42" s="65" t="s">
        <v>150</v>
      </c>
      <c r="N42" s="82">
        <f>$K$42*0.001</f>
        <v>0</v>
      </c>
      <c r="O42" s="64" t="s">
        <v>157</v>
      </c>
      <c r="P42" s="71"/>
    </row>
    <row r="43" spans="1:16" ht="8.1" customHeight="1" x14ac:dyDescent="0.2">
      <c r="B43" s="63"/>
      <c r="C43" s="73"/>
      <c r="D43" s="64"/>
      <c r="E43" s="64"/>
      <c r="F43" s="73"/>
      <c r="G43" s="64"/>
      <c r="H43" s="71"/>
      <c r="J43" s="63"/>
      <c r="K43" s="73"/>
      <c r="L43" s="10"/>
      <c r="M43" s="64"/>
      <c r="N43" s="73"/>
      <c r="O43" s="10"/>
      <c r="P43" s="71"/>
    </row>
    <row r="44" spans="1:16" x14ac:dyDescent="0.2">
      <c r="B44" s="63"/>
      <c r="C44" s="80"/>
      <c r="D44" s="64" t="s">
        <v>157</v>
      </c>
      <c r="E44" s="65" t="s">
        <v>150</v>
      </c>
      <c r="F44" s="84">
        <f>$C$44*(10^6)</f>
        <v>0</v>
      </c>
      <c r="G44" s="64" t="s">
        <v>159</v>
      </c>
      <c r="H44" s="71"/>
      <c r="J44" s="63"/>
      <c r="K44" s="80"/>
      <c r="L44" s="64" t="s">
        <v>158</v>
      </c>
      <c r="M44" s="65" t="s">
        <v>150</v>
      </c>
      <c r="N44" s="82">
        <f>$K$44*1000</f>
        <v>0</v>
      </c>
      <c r="O44" s="64" t="s">
        <v>159</v>
      </c>
      <c r="P44" s="71"/>
    </row>
    <row r="45" spans="1:16" ht="8.1" customHeight="1" x14ac:dyDescent="0.2">
      <c r="B45" s="63"/>
      <c r="C45" s="73"/>
      <c r="D45" s="64"/>
      <c r="E45" s="64"/>
      <c r="F45" s="73"/>
      <c r="G45" s="64"/>
      <c r="H45" s="71"/>
      <c r="J45" s="63"/>
      <c r="K45" s="73"/>
      <c r="L45" s="10"/>
      <c r="M45" s="64"/>
      <c r="N45" s="73"/>
      <c r="O45" s="64"/>
      <c r="P45" s="71"/>
    </row>
    <row r="46" spans="1:16" x14ac:dyDescent="0.2">
      <c r="B46" s="63"/>
      <c r="C46" s="80"/>
      <c r="D46" s="64" t="s">
        <v>157</v>
      </c>
      <c r="E46" s="65" t="s">
        <v>150</v>
      </c>
      <c r="F46" s="82">
        <f>$C$46*35.31</f>
        <v>0</v>
      </c>
      <c r="G46" s="64" t="s">
        <v>160</v>
      </c>
      <c r="H46" s="71"/>
      <c r="J46" s="63"/>
      <c r="K46" s="80"/>
      <c r="L46" s="64" t="s">
        <v>158</v>
      </c>
      <c r="M46" s="65" t="s">
        <v>150</v>
      </c>
      <c r="N46" s="82">
        <f>$K$46*0.03532</f>
        <v>0</v>
      </c>
      <c r="O46" s="64" t="s">
        <v>160</v>
      </c>
      <c r="P46" s="71"/>
    </row>
    <row r="47" spans="1:16" ht="8.1" customHeight="1" x14ac:dyDescent="0.2">
      <c r="B47" s="63"/>
      <c r="C47" s="73"/>
      <c r="D47" s="64"/>
      <c r="E47" s="64"/>
      <c r="F47" s="73"/>
      <c r="G47" s="64"/>
      <c r="H47" s="71"/>
      <c r="J47" s="63"/>
      <c r="K47" s="73"/>
      <c r="L47" s="10"/>
      <c r="M47" s="64"/>
      <c r="N47" s="73"/>
      <c r="O47" s="64"/>
      <c r="P47" s="71"/>
    </row>
    <row r="48" spans="1:16" x14ac:dyDescent="0.2">
      <c r="B48" s="63"/>
      <c r="C48" s="80"/>
      <c r="D48" s="64" t="s">
        <v>157</v>
      </c>
      <c r="E48" s="65" t="s">
        <v>150</v>
      </c>
      <c r="F48" s="82">
        <f>$C$48*264.2</f>
        <v>0</v>
      </c>
      <c r="G48" s="64" t="s">
        <v>161</v>
      </c>
      <c r="H48" s="71"/>
      <c r="J48" s="63"/>
      <c r="K48" s="80"/>
      <c r="L48" s="64" t="s">
        <v>158</v>
      </c>
      <c r="M48" s="65" t="s">
        <v>150</v>
      </c>
      <c r="N48" s="82">
        <f>$K$48*0.2642</f>
        <v>0</v>
      </c>
      <c r="O48" s="64" t="s">
        <v>161</v>
      </c>
      <c r="P48" s="71"/>
    </row>
    <row r="49" spans="2:16" ht="8.1" customHeight="1" thickBot="1" x14ac:dyDescent="0.25">
      <c r="B49" s="67"/>
      <c r="C49" s="75"/>
      <c r="D49" s="68"/>
      <c r="E49" s="69"/>
      <c r="F49" s="75"/>
      <c r="G49" s="68"/>
      <c r="H49" s="70"/>
      <c r="J49" s="67"/>
      <c r="K49" s="75"/>
      <c r="L49" s="68"/>
      <c r="M49" s="68"/>
      <c r="N49" s="75"/>
      <c r="O49" s="68"/>
      <c r="P49" s="70"/>
    </row>
    <row r="50" spans="2:16" ht="8.1" customHeight="1" thickBot="1" x14ac:dyDescent="0.25">
      <c r="C50" s="76"/>
      <c r="F50" s="76"/>
      <c r="K50" s="76"/>
      <c r="N50" s="76"/>
    </row>
    <row r="51" spans="2:16" ht="8.1" customHeight="1" x14ac:dyDescent="0.2">
      <c r="B51" s="59"/>
      <c r="C51" s="77"/>
      <c r="D51" s="60"/>
      <c r="E51" s="61"/>
      <c r="F51" s="77"/>
      <c r="G51" s="60"/>
      <c r="H51" s="62"/>
      <c r="J51" s="59"/>
      <c r="K51" s="77"/>
      <c r="L51" s="60"/>
      <c r="M51" s="60"/>
      <c r="N51" s="77"/>
      <c r="O51" s="60"/>
      <c r="P51" s="62"/>
    </row>
    <row r="52" spans="2:16" x14ac:dyDescent="0.2">
      <c r="B52" s="63"/>
      <c r="C52" s="80"/>
      <c r="D52" s="64" t="s">
        <v>159</v>
      </c>
      <c r="E52" s="65" t="s">
        <v>150</v>
      </c>
      <c r="F52" s="83">
        <f>$C$52*(10^-6)</f>
        <v>0</v>
      </c>
      <c r="G52" s="64" t="s">
        <v>157</v>
      </c>
      <c r="H52" s="71"/>
      <c r="J52" s="63"/>
      <c r="K52" s="80"/>
      <c r="L52" s="64" t="s">
        <v>160</v>
      </c>
      <c r="M52" s="65" t="s">
        <v>150</v>
      </c>
      <c r="N52" s="82">
        <f>$K$52*0.02832</f>
        <v>0</v>
      </c>
      <c r="O52" s="64" t="s">
        <v>157</v>
      </c>
      <c r="P52" s="71"/>
    </row>
    <row r="53" spans="2:16" ht="8.1" customHeight="1" x14ac:dyDescent="0.2">
      <c r="B53" s="63"/>
      <c r="C53" s="73"/>
      <c r="D53" s="10"/>
      <c r="E53" s="64"/>
      <c r="F53" s="73"/>
      <c r="G53" s="10"/>
      <c r="H53" s="71"/>
      <c r="J53" s="63"/>
      <c r="K53" s="73"/>
      <c r="L53" s="10"/>
      <c r="M53" s="64"/>
      <c r="N53" s="73"/>
      <c r="O53" s="10"/>
      <c r="P53" s="71"/>
    </row>
    <row r="54" spans="2:16" x14ac:dyDescent="0.2">
      <c r="B54" s="63"/>
      <c r="C54" s="80"/>
      <c r="D54" s="64" t="s">
        <v>159</v>
      </c>
      <c r="E54" s="65" t="s">
        <v>150</v>
      </c>
      <c r="F54" s="82">
        <f>$C$54*0.001</f>
        <v>0</v>
      </c>
      <c r="G54" s="64" t="s">
        <v>158</v>
      </c>
      <c r="H54" s="71"/>
      <c r="J54" s="63"/>
      <c r="K54" s="80"/>
      <c r="L54" s="64" t="s">
        <v>160</v>
      </c>
      <c r="M54" s="65" t="s">
        <v>150</v>
      </c>
      <c r="N54" s="82">
        <f>$K$54*28.32</f>
        <v>0</v>
      </c>
      <c r="O54" s="64" t="s">
        <v>158</v>
      </c>
      <c r="P54" s="71"/>
    </row>
    <row r="55" spans="2:16" ht="8.1" customHeight="1" x14ac:dyDescent="0.2">
      <c r="B55" s="63"/>
      <c r="C55" s="73"/>
      <c r="D55" s="10"/>
      <c r="E55" s="64"/>
      <c r="F55" s="73"/>
      <c r="G55" s="10"/>
      <c r="H55" s="71"/>
      <c r="J55" s="63"/>
      <c r="K55" s="73"/>
      <c r="L55" s="64"/>
      <c r="M55" s="64"/>
      <c r="N55" s="73"/>
      <c r="O55" s="10"/>
      <c r="P55" s="71"/>
    </row>
    <row r="56" spans="2:16" x14ac:dyDescent="0.2">
      <c r="B56" s="63"/>
      <c r="C56" s="80"/>
      <c r="D56" s="64" t="s">
        <v>159</v>
      </c>
      <c r="E56" s="65" t="s">
        <v>150</v>
      </c>
      <c r="F56" s="82">
        <f>$C$56*(3.532*10^-5)</f>
        <v>0</v>
      </c>
      <c r="G56" s="64" t="s">
        <v>160</v>
      </c>
      <c r="H56" s="71"/>
      <c r="J56" s="63"/>
      <c r="K56" s="80"/>
      <c r="L56" s="64" t="s">
        <v>160</v>
      </c>
      <c r="M56" s="65" t="s">
        <v>150</v>
      </c>
      <c r="N56" s="82">
        <f>$K$56*28320</f>
        <v>0</v>
      </c>
      <c r="O56" s="64" t="s">
        <v>159</v>
      </c>
      <c r="P56" s="71"/>
    </row>
    <row r="57" spans="2:16" ht="8.1" customHeight="1" x14ac:dyDescent="0.2">
      <c r="B57" s="63"/>
      <c r="C57" s="73"/>
      <c r="D57" s="10"/>
      <c r="E57" s="64"/>
      <c r="F57" s="73"/>
      <c r="G57" s="64"/>
      <c r="H57" s="71"/>
      <c r="J57" s="63"/>
      <c r="K57" s="73"/>
      <c r="L57" s="10"/>
      <c r="M57" s="64"/>
      <c r="N57" s="73"/>
      <c r="O57" s="10"/>
      <c r="P57" s="71"/>
    </row>
    <row r="58" spans="2:16" x14ac:dyDescent="0.2">
      <c r="B58" s="63"/>
      <c r="C58" s="80"/>
      <c r="D58" s="64" t="s">
        <v>159</v>
      </c>
      <c r="E58" s="65" t="s">
        <v>150</v>
      </c>
      <c r="F58" s="82">
        <f>$C$58*0.00026</f>
        <v>0</v>
      </c>
      <c r="G58" s="64" t="s">
        <v>161</v>
      </c>
      <c r="H58" s="71"/>
      <c r="J58" s="63"/>
      <c r="K58" s="80"/>
      <c r="L58" s="64" t="s">
        <v>160</v>
      </c>
      <c r="M58" s="65" t="s">
        <v>150</v>
      </c>
      <c r="N58" s="82">
        <f>$K$58*7.481</f>
        <v>0</v>
      </c>
      <c r="O58" s="64" t="s">
        <v>161</v>
      </c>
      <c r="P58" s="71"/>
    </row>
    <row r="59" spans="2:16" ht="8.1" customHeight="1" thickBot="1" x14ac:dyDescent="0.25">
      <c r="B59" s="67"/>
      <c r="C59" s="75"/>
      <c r="D59" s="68"/>
      <c r="E59" s="69"/>
      <c r="F59" s="75"/>
      <c r="G59" s="68"/>
      <c r="H59" s="70"/>
      <c r="J59" s="67"/>
      <c r="K59" s="68"/>
      <c r="L59" s="68"/>
      <c r="M59" s="68"/>
      <c r="N59" s="68"/>
      <c r="O59" s="68"/>
      <c r="P59" s="70"/>
    </row>
    <row r="60" spans="2:16" ht="8.1" customHeight="1" thickBot="1" x14ac:dyDescent="0.25">
      <c r="C60" s="76"/>
      <c r="F60" s="76"/>
    </row>
    <row r="61" spans="2:16" ht="8.1" customHeight="1" x14ac:dyDescent="0.2">
      <c r="B61" s="59"/>
      <c r="C61" s="77"/>
      <c r="D61" s="60"/>
      <c r="E61" s="61"/>
      <c r="F61" s="77"/>
      <c r="G61" s="60"/>
      <c r="H61" s="62"/>
    </row>
    <row r="62" spans="2:16" x14ac:dyDescent="0.2">
      <c r="B62" s="63"/>
      <c r="C62" s="80"/>
      <c r="D62" s="64" t="s">
        <v>161</v>
      </c>
      <c r="E62" s="65" t="s">
        <v>150</v>
      </c>
      <c r="F62" s="82">
        <f>$C$62*0.00379</f>
        <v>0</v>
      </c>
      <c r="G62" s="64" t="s">
        <v>157</v>
      </c>
      <c r="H62" s="71"/>
    </row>
    <row r="63" spans="2:16" ht="8.1" customHeight="1" x14ac:dyDescent="0.2">
      <c r="B63" s="63"/>
      <c r="C63" s="73"/>
      <c r="D63" s="10"/>
      <c r="E63" s="64"/>
      <c r="F63" s="73"/>
      <c r="G63" s="10"/>
      <c r="H63" s="71"/>
    </row>
    <row r="64" spans="2:16" x14ac:dyDescent="0.2">
      <c r="B64" s="63"/>
      <c r="C64" s="80"/>
      <c r="D64" s="64" t="s">
        <v>161</v>
      </c>
      <c r="E64" s="65" t="s">
        <v>150</v>
      </c>
      <c r="F64" s="82">
        <f>C64*3.785</f>
        <v>0</v>
      </c>
      <c r="G64" s="64" t="s">
        <v>158</v>
      </c>
      <c r="H64" s="71"/>
    </row>
    <row r="65" spans="1:16" ht="8.1" customHeight="1" x14ac:dyDescent="0.2">
      <c r="B65" s="63"/>
      <c r="C65" s="73"/>
      <c r="D65" s="10"/>
      <c r="E65" s="64"/>
      <c r="F65" s="73"/>
      <c r="G65" s="10"/>
      <c r="H65" s="71"/>
    </row>
    <row r="66" spans="1:16" x14ac:dyDescent="0.2">
      <c r="B66" s="63"/>
      <c r="C66" s="80"/>
      <c r="D66" s="64" t="s">
        <v>161</v>
      </c>
      <c r="E66" s="65" t="s">
        <v>150</v>
      </c>
      <c r="F66" s="82">
        <f>$C$66*3785</f>
        <v>0</v>
      </c>
      <c r="G66" s="64" t="s">
        <v>159</v>
      </c>
      <c r="H66" s="71"/>
    </row>
    <row r="67" spans="1:16" ht="8.1" customHeight="1" x14ac:dyDescent="0.2">
      <c r="B67" s="63"/>
      <c r="C67" s="73"/>
      <c r="D67" s="10"/>
      <c r="E67" s="64"/>
      <c r="F67" s="73"/>
      <c r="G67" s="10"/>
      <c r="H67" s="71"/>
    </row>
    <row r="68" spans="1:16" x14ac:dyDescent="0.2">
      <c r="B68" s="63"/>
      <c r="C68" s="80"/>
      <c r="D68" s="64" t="s">
        <v>161</v>
      </c>
      <c r="E68" s="65" t="s">
        <v>150</v>
      </c>
      <c r="F68" s="82">
        <f>$C$68*0.1337</f>
        <v>0</v>
      </c>
      <c r="G68" s="64" t="s">
        <v>160</v>
      </c>
      <c r="H68" s="71"/>
    </row>
    <row r="69" spans="1:16" ht="8.1" customHeight="1" thickBot="1" x14ac:dyDescent="0.25">
      <c r="B69" s="67"/>
      <c r="C69" s="68"/>
      <c r="D69" s="68"/>
      <c r="E69" s="69"/>
      <c r="F69" s="68"/>
      <c r="G69" s="68"/>
      <c r="H69" s="70"/>
    </row>
    <row r="71" spans="1:16" x14ac:dyDescent="0.2">
      <c r="A71" s="4"/>
      <c r="B71" s="4"/>
      <c r="C71" s="4"/>
      <c r="D71" s="4"/>
      <c r="E71" s="7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7" customFormat="1" x14ac:dyDescent="0.2">
      <c r="E72" s="85"/>
    </row>
    <row r="73" spans="1:16" s="90" customFormat="1" ht="18" x14ac:dyDescent="0.25">
      <c r="A73" s="94" t="s">
        <v>162</v>
      </c>
      <c r="B73" s="95"/>
      <c r="C73" s="95"/>
      <c r="E73" s="91"/>
    </row>
    <row r="74" spans="1:16" ht="15" thickBot="1" x14ac:dyDescent="0.25">
      <c r="A74" s="81" t="s">
        <v>167</v>
      </c>
      <c r="B74" s="54"/>
    </row>
    <row r="75" spans="1:16" ht="8.1" customHeight="1" x14ac:dyDescent="0.2">
      <c r="B75" s="59"/>
      <c r="C75" s="60"/>
      <c r="D75" s="60"/>
      <c r="E75" s="61"/>
      <c r="F75" s="60"/>
      <c r="G75" s="60"/>
      <c r="H75" s="62"/>
    </row>
    <row r="76" spans="1:16" x14ac:dyDescent="0.2">
      <c r="B76" s="63"/>
      <c r="C76" s="80"/>
      <c r="D76" s="64" t="s">
        <v>163</v>
      </c>
      <c r="E76" s="65" t="s">
        <v>150</v>
      </c>
      <c r="F76" s="82">
        <f>$C$76*(6*10^4)</f>
        <v>0</v>
      </c>
      <c r="G76" s="64" t="s">
        <v>164</v>
      </c>
      <c r="H76" s="71"/>
    </row>
    <row r="77" spans="1:16" ht="8.1" customHeight="1" x14ac:dyDescent="0.2">
      <c r="B77" s="63"/>
      <c r="C77" s="73"/>
      <c r="D77" s="64"/>
      <c r="E77" s="64"/>
      <c r="F77" s="73"/>
      <c r="G77" s="64"/>
      <c r="H77" s="71"/>
    </row>
    <row r="78" spans="1:16" x14ac:dyDescent="0.2">
      <c r="B78" s="63"/>
      <c r="C78" s="80"/>
      <c r="D78" s="64" t="s">
        <v>163</v>
      </c>
      <c r="E78" s="65" t="s">
        <v>150</v>
      </c>
      <c r="F78" s="82">
        <f>$C$78*15852</f>
        <v>0</v>
      </c>
      <c r="G78" s="64" t="s">
        <v>7</v>
      </c>
      <c r="H78" s="71"/>
    </row>
    <row r="79" spans="1:16" ht="8.1" customHeight="1" x14ac:dyDescent="0.2">
      <c r="B79" s="63"/>
      <c r="C79" s="73"/>
      <c r="D79" s="64"/>
      <c r="E79" s="64"/>
      <c r="F79" s="73"/>
      <c r="G79" s="64"/>
      <c r="H79" s="71"/>
    </row>
    <row r="80" spans="1:16" x14ac:dyDescent="0.2">
      <c r="B80" s="63"/>
      <c r="C80" s="80"/>
      <c r="D80" s="64" t="s">
        <v>164</v>
      </c>
      <c r="E80" s="65" t="s">
        <v>150</v>
      </c>
      <c r="F80" s="83">
        <f>$C$80*(1.67*10^-5)</f>
        <v>0</v>
      </c>
      <c r="G80" s="64" t="s">
        <v>163</v>
      </c>
      <c r="H80" s="71"/>
    </row>
    <row r="81" spans="1:16" ht="8.1" customHeight="1" x14ac:dyDescent="0.2">
      <c r="B81" s="63"/>
      <c r="C81" s="73"/>
      <c r="D81" s="64"/>
      <c r="E81" s="64"/>
      <c r="F81" s="73"/>
      <c r="G81" s="64"/>
      <c r="H81" s="71"/>
    </row>
    <row r="82" spans="1:16" x14ac:dyDescent="0.2">
      <c r="B82" s="63"/>
      <c r="C82" s="80"/>
      <c r="D82" s="64" t="s">
        <v>164</v>
      </c>
      <c r="E82" s="65" t="s">
        <v>150</v>
      </c>
      <c r="F82" s="82">
        <f>$C$82*0.2642</f>
        <v>0</v>
      </c>
      <c r="G82" s="64" t="s">
        <v>7</v>
      </c>
      <c r="H82" s="71"/>
    </row>
    <row r="83" spans="1:16" ht="8.1" customHeight="1" x14ac:dyDescent="0.2">
      <c r="B83" s="63"/>
      <c r="C83" s="73"/>
      <c r="D83" s="64"/>
      <c r="E83" s="64"/>
      <c r="F83" s="73"/>
      <c r="G83" s="64"/>
      <c r="H83" s="71"/>
    </row>
    <row r="84" spans="1:16" x14ac:dyDescent="0.2">
      <c r="B84" s="63"/>
      <c r="C84" s="80"/>
      <c r="D84" s="64" t="s">
        <v>7</v>
      </c>
      <c r="E84" s="65" t="s">
        <v>150</v>
      </c>
      <c r="F84" s="83">
        <f>$C$84*(6.3084*10^-5)</f>
        <v>0</v>
      </c>
      <c r="G84" s="64" t="s">
        <v>163</v>
      </c>
      <c r="H84" s="71"/>
    </row>
    <row r="85" spans="1:16" ht="8.1" customHeight="1" x14ac:dyDescent="0.2">
      <c r="B85" s="63"/>
      <c r="C85" s="73"/>
      <c r="D85" s="64"/>
      <c r="E85" s="64"/>
      <c r="F85" s="73"/>
      <c r="G85" s="64"/>
      <c r="H85" s="71"/>
    </row>
    <row r="86" spans="1:16" x14ac:dyDescent="0.2">
      <c r="B86" s="63"/>
      <c r="C86" s="80"/>
      <c r="D86" s="64" t="s">
        <v>7</v>
      </c>
      <c r="E86" s="65" t="s">
        <v>150</v>
      </c>
      <c r="F86" s="82">
        <f>$C$86*3.785</f>
        <v>0</v>
      </c>
      <c r="G86" s="64" t="s">
        <v>164</v>
      </c>
      <c r="H86" s="71"/>
    </row>
    <row r="87" spans="1:16" ht="8.1" customHeight="1" thickBot="1" x14ac:dyDescent="0.25">
      <c r="B87" s="67"/>
      <c r="C87" s="68"/>
      <c r="D87" s="68"/>
      <c r="E87" s="69"/>
      <c r="F87" s="68"/>
      <c r="G87" s="68"/>
      <c r="H87" s="70"/>
    </row>
    <row r="89" spans="1:16" x14ac:dyDescent="0.2">
      <c r="A89" s="78"/>
      <c r="B89" s="78"/>
      <c r="C89" s="78"/>
      <c r="D89" s="78"/>
      <c r="E89" s="79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1:16" s="7" customFormat="1" x14ac:dyDescent="0.2">
      <c r="E90" s="85"/>
    </row>
    <row r="91" spans="1:16" s="90" customFormat="1" ht="18" x14ac:dyDescent="0.25">
      <c r="A91" s="92" t="s">
        <v>165</v>
      </c>
      <c r="B91" s="93"/>
      <c r="C91" s="93"/>
      <c r="E91" s="91"/>
    </row>
    <row r="92" spans="1:16" ht="15" thickBot="1" x14ac:dyDescent="0.25">
      <c r="A92" s="81" t="s">
        <v>167</v>
      </c>
      <c r="B92" s="54"/>
    </row>
    <row r="93" spans="1:16" ht="8.1" customHeight="1" x14ac:dyDescent="0.2">
      <c r="B93" s="59"/>
      <c r="C93" s="60"/>
      <c r="D93" s="60"/>
      <c r="E93" s="61"/>
      <c r="F93" s="60"/>
      <c r="G93" s="60"/>
      <c r="H93" s="62"/>
    </row>
    <row r="94" spans="1:16" x14ac:dyDescent="0.2">
      <c r="B94" s="63"/>
      <c r="C94" s="80"/>
      <c r="D94" s="64" t="s">
        <v>83</v>
      </c>
      <c r="E94" s="65" t="s">
        <v>150</v>
      </c>
      <c r="F94" s="82">
        <f>$C$94*0.001</f>
        <v>0</v>
      </c>
      <c r="G94" s="64" t="s">
        <v>166</v>
      </c>
      <c r="H94" s="71"/>
    </row>
    <row r="95" spans="1:16" ht="8.1" customHeight="1" x14ac:dyDescent="0.2">
      <c r="B95" s="63"/>
      <c r="C95" s="73"/>
      <c r="D95" s="64"/>
      <c r="E95" s="64"/>
      <c r="F95" s="73"/>
      <c r="G95" s="64"/>
      <c r="H95" s="71"/>
    </row>
    <row r="96" spans="1:16" x14ac:dyDescent="0.2">
      <c r="B96" s="63"/>
      <c r="C96" s="80"/>
      <c r="D96" s="64" t="s">
        <v>83</v>
      </c>
      <c r="E96" s="65" t="s">
        <v>150</v>
      </c>
      <c r="F96" s="82">
        <f>$C$96*0.00134</f>
        <v>0</v>
      </c>
      <c r="G96" s="64" t="s">
        <v>79</v>
      </c>
      <c r="H96" s="71"/>
    </row>
    <row r="97" spans="2:8" ht="8.1" customHeight="1" x14ac:dyDescent="0.2">
      <c r="B97" s="63"/>
      <c r="C97" s="73"/>
      <c r="D97" s="64"/>
      <c r="E97" s="64"/>
      <c r="F97" s="73"/>
      <c r="G97" s="64"/>
      <c r="H97" s="71"/>
    </row>
    <row r="98" spans="2:8" x14ac:dyDescent="0.2">
      <c r="B98" s="63"/>
      <c r="C98" s="80"/>
      <c r="D98" s="64" t="s">
        <v>166</v>
      </c>
      <c r="E98" s="65" t="s">
        <v>150</v>
      </c>
      <c r="F98" s="82">
        <f>$C$98*1000</f>
        <v>0</v>
      </c>
      <c r="G98" s="64" t="s">
        <v>83</v>
      </c>
      <c r="H98" s="71"/>
    </row>
    <row r="99" spans="2:8" ht="8.1" customHeight="1" x14ac:dyDescent="0.2">
      <c r="B99" s="63"/>
      <c r="C99" s="73"/>
      <c r="D99" s="64"/>
      <c r="E99" s="64"/>
      <c r="F99" s="73"/>
      <c r="G99" s="64"/>
      <c r="H99" s="71"/>
    </row>
    <row r="100" spans="2:8" x14ac:dyDescent="0.2">
      <c r="B100" s="63"/>
      <c r="C100" s="80"/>
      <c r="D100" s="64" t="s">
        <v>166</v>
      </c>
      <c r="E100" s="65" t="s">
        <v>150</v>
      </c>
      <c r="F100" s="82">
        <f>$C$100*1.3405</f>
        <v>0</v>
      </c>
      <c r="G100" s="64" t="s">
        <v>79</v>
      </c>
      <c r="H100" s="71"/>
    </row>
    <row r="101" spans="2:8" ht="8.1" customHeight="1" x14ac:dyDescent="0.2">
      <c r="B101" s="63"/>
      <c r="C101" s="73"/>
      <c r="D101" s="64"/>
      <c r="E101" s="64"/>
      <c r="F101" s="73"/>
      <c r="G101" s="64"/>
      <c r="H101" s="71"/>
    </row>
    <row r="102" spans="2:8" x14ac:dyDescent="0.2">
      <c r="B102" s="63"/>
      <c r="C102" s="80"/>
      <c r="D102" s="64" t="s">
        <v>79</v>
      </c>
      <c r="E102" s="65" t="s">
        <v>150</v>
      </c>
      <c r="F102" s="82">
        <f>$C$102*746</f>
        <v>0</v>
      </c>
      <c r="G102" s="64" t="s">
        <v>83</v>
      </c>
      <c r="H102" s="71"/>
    </row>
    <row r="103" spans="2:8" ht="8.1" customHeight="1" x14ac:dyDescent="0.2">
      <c r="B103" s="63"/>
      <c r="C103" s="73"/>
      <c r="D103" s="64"/>
      <c r="E103" s="64"/>
      <c r="F103" s="73"/>
      <c r="G103" s="64"/>
      <c r="H103" s="71"/>
    </row>
    <row r="104" spans="2:8" x14ac:dyDescent="0.2">
      <c r="B104" s="63"/>
      <c r="C104" s="80"/>
      <c r="D104" s="64" t="s">
        <v>79</v>
      </c>
      <c r="E104" s="65" t="s">
        <v>150</v>
      </c>
      <c r="F104" s="82">
        <f>$C$104*0.746</f>
        <v>0</v>
      </c>
      <c r="G104" s="64" t="s">
        <v>166</v>
      </c>
      <c r="H104" s="71"/>
    </row>
    <row r="105" spans="2:8" ht="8.1" customHeight="1" thickBot="1" x14ac:dyDescent="0.25">
      <c r="B105" s="67"/>
      <c r="C105" s="68"/>
      <c r="D105" s="68"/>
      <c r="E105" s="69"/>
      <c r="F105" s="68"/>
      <c r="G105" s="68"/>
      <c r="H105" s="70"/>
    </row>
  </sheetData>
  <hyperlinks>
    <hyperlink ref="D1" location="'Data Convertor'!A3" display="กลับสู่ด้านบน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activeCell="O22" sqref="O22"/>
    </sheetView>
  </sheetViews>
  <sheetFormatPr defaultRowHeight="14.25" x14ac:dyDescent="0.2"/>
  <cols>
    <col min="1" max="1" width="26.625" customWidth="1"/>
    <col min="2" max="2" width="8" customWidth="1"/>
  </cols>
  <sheetData>
    <row r="1" spans="1:13" ht="18" x14ac:dyDescent="0.25">
      <c r="A1" s="8" t="s">
        <v>80</v>
      </c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3" s="6" customFormat="1" x14ac:dyDescent="0.2">
      <c r="A5" s="5" t="s">
        <v>13</v>
      </c>
    </row>
    <row r="6" spans="1:13" x14ac:dyDescent="0.2">
      <c r="A6" s="2" t="s">
        <v>12</v>
      </c>
      <c r="B6" s="185" t="s">
        <v>15</v>
      </c>
      <c r="C6" s="185"/>
    </row>
    <row r="7" spans="1:13" x14ac:dyDescent="0.2">
      <c r="A7" s="3" t="s">
        <v>64</v>
      </c>
      <c r="B7" s="186">
        <v>100</v>
      </c>
      <c r="C7" s="187"/>
    </row>
    <row r="8" spans="1:13" x14ac:dyDescent="0.2">
      <c r="A8" s="3" t="s">
        <v>17</v>
      </c>
      <c r="B8" s="185">
        <v>120</v>
      </c>
      <c r="C8" s="185"/>
      <c r="G8" s="10"/>
      <c r="H8" s="11"/>
      <c r="I8" s="11"/>
    </row>
    <row r="9" spans="1:13" x14ac:dyDescent="0.2">
      <c r="A9" s="3" t="s">
        <v>18</v>
      </c>
      <c r="B9" s="185">
        <v>130</v>
      </c>
      <c r="C9" s="185"/>
      <c r="G9" s="10"/>
      <c r="H9" s="11"/>
      <c r="I9" s="11"/>
    </row>
    <row r="10" spans="1:13" x14ac:dyDescent="0.2">
      <c r="A10" s="3" t="s">
        <v>25</v>
      </c>
      <c r="B10" s="185">
        <v>150</v>
      </c>
      <c r="C10" s="185"/>
    </row>
    <row r="11" spans="1:13" x14ac:dyDescent="0.2">
      <c r="A11" s="3" t="s">
        <v>16</v>
      </c>
      <c r="B11" s="185">
        <v>140</v>
      </c>
      <c r="C11" s="185"/>
    </row>
    <row r="12" spans="1:13" x14ac:dyDescent="0.2">
      <c r="A12" t="s">
        <v>14</v>
      </c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13" s="6" customFormat="1" x14ac:dyDescent="0.2">
      <c r="A16" s="5" t="s">
        <v>30</v>
      </c>
    </row>
    <row r="17" spans="1:13" x14ac:dyDescent="0.2">
      <c r="A17" s="183" t="s">
        <v>31</v>
      </c>
      <c r="B17" s="184" t="s">
        <v>32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3" x14ac:dyDescent="0.2">
      <c r="A18" s="183"/>
      <c r="B18" s="2" t="s">
        <v>33</v>
      </c>
      <c r="C18" s="2" t="s">
        <v>34</v>
      </c>
      <c r="D18" s="2" t="s">
        <v>35</v>
      </c>
      <c r="E18" s="2" t="s">
        <v>36</v>
      </c>
      <c r="F18" s="2" t="s">
        <v>37</v>
      </c>
      <c r="G18" s="2" t="s">
        <v>38</v>
      </c>
      <c r="H18" s="2" t="s">
        <v>39</v>
      </c>
      <c r="I18" s="2" t="s">
        <v>40</v>
      </c>
      <c r="J18" s="2" t="s">
        <v>41</v>
      </c>
      <c r="K18" s="2" t="s">
        <v>42</v>
      </c>
      <c r="L18" s="2" t="s">
        <v>43</v>
      </c>
    </row>
    <row r="19" spans="1:13" x14ac:dyDescent="0.2">
      <c r="A19" s="3" t="s">
        <v>45</v>
      </c>
      <c r="B19" s="9">
        <v>0.8</v>
      </c>
      <c r="C19" s="9">
        <v>1.1000000000000001</v>
      </c>
      <c r="D19" s="9">
        <v>1.4</v>
      </c>
      <c r="E19" s="9">
        <v>1.8</v>
      </c>
      <c r="F19" s="9">
        <v>2.2000000000000002</v>
      </c>
      <c r="G19" s="9">
        <v>2.8</v>
      </c>
      <c r="H19" s="9">
        <v>3.3</v>
      </c>
      <c r="I19" s="9">
        <v>4.0999999999999996</v>
      </c>
      <c r="J19" s="9">
        <v>5.4</v>
      </c>
      <c r="K19" s="9">
        <v>6.7</v>
      </c>
      <c r="L19" s="9">
        <v>8.1</v>
      </c>
    </row>
    <row r="20" spans="1:13" x14ac:dyDescent="0.2">
      <c r="A20" s="3" t="s">
        <v>44</v>
      </c>
      <c r="B20" s="9">
        <v>1.6</v>
      </c>
      <c r="C20" s="9">
        <v>2.1</v>
      </c>
      <c r="D20" s="9">
        <v>2.6</v>
      </c>
      <c r="E20" s="9">
        <v>3.5</v>
      </c>
      <c r="F20" s="9">
        <v>4</v>
      </c>
      <c r="G20" s="9">
        <v>5.2</v>
      </c>
      <c r="H20" s="9">
        <v>6.2</v>
      </c>
      <c r="I20" s="9">
        <v>7.7</v>
      </c>
      <c r="J20" s="9">
        <v>10.1</v>
      </c>
      <c r="K20" s="9">
        <v>12.6</v>
      </c>
      <c r="L20" s="9">
        <v>15.2</v>
      </c>
    </row>
    <row r="21" spans="1:13" x14ac:dyDescent="0.2">
      <c r="A21" s="3" t="s">
        <v>46</v>
      </c>
      <c r="B21" s="9">
        <v>3.1</v>
      </c>
      <c r="C21" s="9">
        <v>4.0999999999999996</v>
      </c>
      <c r="D21" s="9">
        <v>5.3</v>
      </c>
      <c r="E21" s="9">
        <v>6.9</v>
      </c>
      <c r="F21" s="9">
        <v>8.1</v>
      </c>
      <c r="G21" s="9">
        <v>10.3</v>
      </c>
      <c r="H21" s="9">
        <v>12.3</v>
      </c>
      <c r="I21" s="9">
        <v>15.3</v>
      </c>
      <c r="J21" s="9">
        <v>20.100000000000001</v>
      </c>
      <c r="K21" s="9">
        <v>25.2</v>
      </c>
      <c r="L21" s="9">
        <v>30.3</v>
      </c>
    </row>
    <row r="22" spans="1:13" x14ac:dyDescent="0.2">
      <c r="A22" s="3" t="s">
        <v>47</v>
      </c>
      <c r="B22" s="9">
        <v>1</v>
      </c>
      <c r="C22" s="9">
        <v>1.4</v>
      </c>
      <c r="D22" s="9">
        <v>1.8</v>
      </c>
      <c r="E22" s="9">
        <v>2.2999999999999998</v>
      </c>
      <c r="F22" s="9">
        <v>2.7</v>
      </c>
      <c r="G22" s="9">
        <v>3.5</v>
      </c>
      <c r="H22" s="9">
        <v>4.0999999999999996</v>
      </c>
      <c r="I22" s="9">
        <v>5.0999999999999996</v>
      </c>
      <c r="J22" s="9">
        <v>6.7</v>
      </c>
      <c r="K22" s="9">
        <v>8.4</v>
      </c>
      <c r="L22" s="9">
        <v>10.1</v>
      </c>
    </row>
    <row r="23" spans="1:13" x14ac:dyDescent="0.2">
      <c r="A23" s="3" t="s">
        <v>48</v>
      </c>
      <c r="B23" s="9">
        <v>0.4</v>
      </c>
      <c r="C23" s="9">
        <v>0.6</v>
      </c>
      <c r="D23" s="9">
        <v>0.7</v>
      </c>
      <c r="E23" s="9">
        <v>0.9</v>
      </c>
      <c r="F23" s="9">
        <v>1.1000000000000001</v>
      </c>
      <c r="G23" s="9">
        <v>1.4</v>
      </c>
      <c r="H23" s="9">
        <v>1.7</v>
      </c>
      <c r="I23" s="9">
        <v>2</v>
      </c>
      <c r="J23" s="9">
        <v>2.7</v>
      </c>
      <c r="K23" s="9">
        <v>3.4</v>
      </c>
      <c r="L23" s="9">
        <v>4</v>
      </c>
    </row>
    <row r="24" spans="1:13" x14ac:dyDescent="0.2">
      <c r="A24" s="3" t="s">
        <v>49</v>
      </c>
      <c r="B24" s="9">
        <v>17.600000000000001</v>
      </c>
      <c r="C24" s="9">
        <v>23.3</v>
      </c>
      <c r="D24" s="9">
        <v>29.7</v>
      </c>
      <c r="E24" s="9">
        <v>39.1</v>
      </c>
      <c r="F24" s="9">
        <v>45.6</v>
      </c>
      <c r="G24" s="9">
        <v>58.6</v>
      </c>
      <c r="H24" s="9">
        <v>70</v>
      </c>
      <c r="I24" s="9">
        <v>86.9</v>
      </c>
      <c r="J24" s="9">
        <v>114</v>
      </c>
      <c r="K24" s="9">
        <v>143</v>
      </c>
      <c r="L24" s="9">
        <v>172</v>
      </c>
    </row>
    <row r="25" spans="1:13" x14ac:dyDescent="0.2">
      <c r="A25" s="3" t="s">
        <v>52</v>
      </c>
      <c r="B25" s="9">
        <v>7.8</v>
      </c>
      <c r="C25" s="9">
        <v>10.3</v>
      </c>
      <c r="D25" s="9">
        <v>13.1</v>
      </c>
      <c r="E25" s="9">
        <v>17.3</v>
      </c>
      <c r="F25" s="9">
        <v>20.100000000000001</v>
      </c>
      <c r="G25" s="9">
        <v>25.8</v>
      </c>
      <c r="H25" s="9">
        <v>30.9</v>
      </c>
      <c r="I25" s="9">
        <v>38.4</v>
      </c>
      <c r="J25" s="9">
        <v>50.3</v>
      </c>
      <c r="K25" s="9">
        <v>63.1</v>
      </c>
      <c r="L25" s="9">
        <v>75.8</v>
      </c>
    </row>
    <row r="26" spans="1:13" x14ac:dyDescent="0.2">
      <c r="A26" s="3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7.8</v>
      </c>
      <c r="H26" s="9">
        <v>9.3000000000000007</v>
      </c>
      <c r="I26" s="9">
        <v>11.5</v>
      </c>
      <c r="J26" s="9">
        <v>15.1</v>
      </c>
      <c r="K26" s="9">
        <v>18.899999999999999</v>
      </c>
      <c r="L26" s="9">
        <v>22.7</v>
      </c>
    </row>
    <row r="27" spans="1:13" x14ac:dyDescent="0.2">
      <c r="A27" s="3" t="s">
        <v>51</v>
      </c>
      <c r="B27" s="9">
        <v>5.2</v>
      </c>
      <c r="C27" s="9">
        <v>6.9</v>
      </c>
      <c r="D27" s="9">
        <v>8.6999999999999993</v>
      </c>
      <c r="E27" s="9">
        <v>11.5</v>
      </c>
      <c r="F27" s="9">
        <v>13.4</v>
      </c>
      <c r="G27" s="9">
        <v>17.2</v>
      </c>
      <c r="H27" s="9">
        <v>20.6</v>
      </c>
      <c r="I27" s="9">
        <v>25.5</v>
      </c>
      <c r="J27" s="9">
        <v>33.6</v>
      </c>
      <c r="K27" s="9">
        <v>42.1</v>
      </c>
      <c r="L27" s="9">
        <v>50.5</v>
      </c>
    </row>
    <row r="28" spans="1:13" x14ac:dyDescent="0.2">
      <c r="A28" t="s">
        <v>29</v>
      </c>
    </row>
    <row r="30" spans="1:1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mergeCells count="8">
    <mergeCell ref="A17:A18"/>
    <mergeCell ref="B17:L17"/>
    <mergeCell ref="B9:C9"/>
    <mergeCell ref="B6:C6"/>
    <mergeCell ref="B11:C11"/>
    <mergeCell ref="B10:C10"/>
    <mergeCell ref="B8:C8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Pump</vt:lpstr>
      <vt:lpstr>Solar cell</vt:lpstr>
      <vt:lpstr>Data Convertor</vt:lpstr>
      <vt:lpstr>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</dc:creator>
  <cp:lastModifiedBy>Dell</cp:lastModifiedBy>
  <cp:lastPrinted>2020-09-28T09:45:34Z</cp:lastPrinted>
  <dcterms:created xsi:type="dcterms:W3CDTF">2020-09-18T03:33:36Z</dcterms:created>
  <dcterms:modified xsi:type="dcterms:W3CDTF">2020-10-09T10:03:10Z</dcterms:modified>
</cp:coreProperties>
</file>